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'W2'!$C$1:$BA$87</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<sst xmlns="http://schemas.openxmlformats.org/spreadsheetml/2006/main" count="1611" uniqueCount="650">
  <si>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</si>
  <si>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</si>
  <si>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</si>
  <si>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</si>
  <si>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</si>
  <si>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</si>
  <si>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</si>
  <si>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</si>
  <si>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</si>
  <si>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</si>
  <si>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</si>
  <si>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</si>
  <si>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</si>
  <si>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</si>
  <si>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</si>
  <si>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</si>
  <si>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</si>
  <si>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</si>
  <si>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</si>
  <si>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</si>
  <si>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</si>
  <si>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</si>
  <si>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</si>
  <si>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</si>
  <si>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</si>
  <si>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</si>
  <si>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</si>
  <si>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</si>
  <si>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</si>
  <si>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</si>
  <si>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</si>
  <si>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</si>
  <si>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</si>
  <si>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</si>
  <si>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</si>
  <si>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</si>
  <si>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</si>
  <si>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</si>
  <si>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</si>
  <si>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</si>
  <si>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</si>
  <si>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</si>
  <si>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</si>
  <si>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</si>
  <si>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</si>
  <si>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</si>
  <si>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</si>
  <si>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</si>
  <si>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</si>
  <si>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</si>
  <si>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</si>
  <si>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</si>
  <si>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</si>
  <si>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</si>
  <si>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</si>
  <si>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</si>
  <si>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</si>
  <si>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</si>
  <si>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</si>
  <si>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</si>
  <si>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</si>
  <si>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</si>
  <si>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</si>
  <si>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</si>
  <si>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</si>
  <si>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</si>
  <si>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</si>
  <si>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</si>
  <si>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</si>
  <si>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</si>
  <si>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</si>
  <si>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</si>
  <si>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</si>
  <si>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</si>
  <si>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</si>
  <si>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</si>
  <si>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</si>
  <si>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</si>
  <si>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</si>
  <si>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</si>
  <si>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</si>
  <si>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</si>
  <si>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</si>
  <si>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</si>
  <si>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</si>
  <si>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</si>
  <si>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</si>
  <si>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</si>
  <si>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</si>
  <si>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</si>
  <si>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</si>
  <si>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</si>
  <si>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</si>
  <si>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</si>
  <si>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</si>
  <si>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</si>
  <si>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</si>
  <si>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</si>
  <si>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</si>
  <si>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</si>
  <si>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</si>
  <si>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</si>
  <si>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</si>
  <si>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</si>
  <si>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</si>
  <si>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</si>
  <si>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</si>
  <si>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</si>
  <si>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</si>
  <si>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</si>
  <si>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</si>
  <si>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</si>
  <si>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</si>
  <si>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</si>
  <si>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</si>
  <si>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</si>
  <si>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</si>
  <si>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</si>
  <si>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</si>
  <si>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</si>
  <si>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</si>
  <si>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</si>
  <si>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</si>
  <si>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</si>
  <si>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</si>
  <si>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</si>
  <si>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</si>
  <si>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</si>
  <si>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</si>
  <si>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</si>
  <si>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</si>
  <si>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</si>
  <si>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</si>
  <si>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</si>
  <si>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</si>
  <si>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</si>
  <si>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</si>
  <si>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</si>
  <si>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</si>
  <si>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</si>
  <si>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</si>
  <si>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</si>
  <si>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</si>
  <si>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</si>
  <si>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</si>
  <si>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</si>
  <si>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</si>
  <si>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</si>
  <si>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</si>
  <si>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</si>
  <si>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</si>
  <si>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</si>
  <si>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</si>
  <si>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</si>
  <si>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</si>
  <si>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</si>
  <si>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</si>
  <si>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</si>
  <si>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</si>
  <si>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</si>
  <si>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</si>
  <si>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</si>
  <si>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</si>
  <si>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</si>
  <si>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</si>
  <si>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</si>
  <si>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</si>
  <si>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</si>
  <si>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</si>
  <si>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</si>
  <si>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</si>
  <si>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</si>
  <si>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</si>
  <si>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</si>
  <si>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</si>
  <si>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</si>
  <si>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</si>
  <si>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</si>
  <si>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</si>
  <si>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</si>
  <si>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</si>
  <si>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</si>
  <si>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</si>
  <si>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</si>
  <si>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</si>
  <si>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</si>
  <si>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</si>
  <si>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</si>
  <si>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</si>
  <si>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</si>
  <si>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</si>
  <si>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</si>
  <si>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</si>
  <si>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</si>
  <si>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</si>
  <si>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</si>
  <si>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</si>
  <si>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</si>
  <si>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</si>
  <si>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</si>
  <si>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</si>
  <si>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</si>
  <si>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</si>
  <si>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</si>
  <si>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</si>
  <si>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</si>
  <si>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</si>
  <si>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</si>
  <si>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</si>
  <si>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</si>
  <si>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</si>
  <si>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</si>
  <si>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</si>
  <si>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</si>
  <si>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</si>
  <si>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</si>
  <si>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</si>
  <si>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</si>
  <si>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</si>
  <si>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</si>
  <si>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</si>
  <si>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</si>
  <si>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</si>
  <si>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</si>
  <si>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</si>
  <si>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</si>
  <si>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</si>
  <si>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</si>
  <si>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</si>
  <si>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</si>
  <si>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</si>
  <si>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</si>
  <si>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</si>
  <si>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</si>
  <si>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</si>
  <si>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</si>
  <si>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</si>
  <si>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</si>
  <si>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</si>
  <si>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</si>
  <si>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</si>
  <si>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</si>
  <si>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</si>
  <si>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</si>
  <si>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</si>
  <si>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</si>
  <si>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</si>
  <si>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</si>
  <si>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</si>
  <si>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</si>
  <si>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</si>
  <si>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</si>
  <si>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</si>
  <si>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</si>
  <si>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</si>
  <si>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</si>
  <si>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</si>
  <si>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</si>
  <si>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</si>
  <si>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</si>
  <si>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</si>
  <si>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</si>
  <si>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</si>
  <si>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</si>
  <si>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</si>
  <si>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</si>
  <si>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</si>
  <si>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</si>
  <si>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</si>
  <si>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</si>
  <si>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</si>
  <si>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</si>
  <si>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</si>
  <si>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</si>
  <si>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</si>
  <si>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</si>
  <si>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</si>
  <si>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</si>
  <si>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</si>
  <si>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</si>
  <si>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</si>
  <si>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</si>
  <si>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</si>
  <si>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</si>
  <si>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</si>
  <si>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</si>
  <si>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</si>
  <si>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</si>
  <si>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</si>
  <si>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</si>
  <si>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</si>
  <si>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</si>
  <si>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</si>
  <si>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</si>
  <si>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</si>
  <si>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</si>
  <si>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</si>
  <si>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</si>
  <si>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</si>
  <si>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</si>
  <si>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</si>
  <si>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</si>
  <si>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</si>
  <si>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</si>
  <si>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</si>
  <si>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</si>
  <si>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</si>
  <si>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</si>
  <si>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</si>
  <si>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</si>
  <si>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</si>
  <si>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</si>
  <si>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</si>
  <si>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</si>
  <si>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</si>
  <si>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</si>
  <si>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</si>
  <si>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</si>
  <si>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</si>
  <si>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</si>
  <si>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</si>
  <si>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</si>
  <si>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</si>
  <si>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</si>
  <si>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</si>
  <si>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</si>
  <si>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</si>
  <si>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</si>
  <si>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</si>
  <si>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</si>
  <si>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</si>
  <si>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</si>
  <si>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</si>
  <si>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</si>
  <si>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</si>
  <si>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</si>
  <si>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</si>
  <si>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</si>
  <si>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</si>
  <si>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</si>
  <si>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</si>
  <si>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</si>
  <si>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</si>
  <si>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</si>
  <si>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</si>
  <si>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</si>
  <si>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</si>
  <si>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</si>
  <si>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</si>
  <si>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</si>
  <si>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</si>
  <si>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</si>
  <si>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</si>
  <si>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</si>
  <si>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</si>
  <si>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</si>
  <si>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</si>
  <si>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</si>
  <si>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</si>
  <si>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</si>
  <si>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</si>
  <si>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</si>
  <si>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</si>
  <si>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</si>
  <si>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</si>
  <si>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</si>
  <si>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</si>
  <si>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</si>
  <si>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</si>
  <si>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</si>
  <si>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</si>
  <si>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</si>
  <si>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</si>
  <si>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</si>
  <si>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</si>
  <si>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</si>
  <si>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</si>
  <si>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</si>
  <si>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</si>
  <si>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</si>
  <si>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</si>
  <si>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</si>
  <si>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</si>
  <si>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</si>
  <si>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</si>
  <si>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</si>
  <si>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</si>
  <si>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</si>
  <si>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</si>
  <si>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</si>
  <si>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</si>
  <si>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</si>
  <si>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</si>
  <si>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</si>
  <si>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</si>
  <si>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</si>
  <si>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</si>
  <si>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</si>
  <si>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</si>
  <si>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</si>
  <si>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</si>
  <si>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</si>
  <si>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</si>
  <si>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</si>
  <si>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</si>
  <si>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</si>
  <si>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</si>
  <si>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</si>
  <si>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</si>
  <si>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</si>
  <si>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</si>
  <si>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</si>
  <si>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</si>
  <si>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</si>
  <si>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</si>
  <si>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</si>
  <si>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</si>
  <si>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</si>
  <si>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</si>
  <si>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</si>
  <si>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</si>
  <si>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</si>
  <si>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</si>
  <si>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</si>
  <si>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</si>
  <si>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</si>
  <si>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</si>
  <si>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</si>
  <si>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</si>
  <si>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</si>
  <si>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</si>
  <si>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</si>
  <si>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</si>
  <si>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</si>
  <si>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</si>
  <si>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</si>
  <si>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</si>
  <si>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</si>
  <si>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</si>
  <si>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</si>
  <si>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</si>
  <si>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</si>
  <si>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</si>
  <si>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</si>
  <si>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</si>
  <si>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</si>
  <si>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</si>
  <si>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</si>
  <si>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</si>
  <si>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</si>
  <si>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</si>
  <si>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</si>
  <si>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</si>
  <si>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</si>
  <si>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</si>
  <si>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</si>
  <si>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</si>
  <si>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</si>
  <si>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</si>
  <si>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</si>
  <si>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</si>
  <si>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</si>
  <si>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</si>
  <si>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</si>
  <si>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</si>
  <si>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</si>
  <si>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</si>
  <si>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</si>
  <si>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</si>
  <si>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</si>
  <si>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</si>
  <si>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</si>
  <si>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</si>
  <si>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</si>
  <si>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</si>
  <si>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</si>
  <si>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</si>
  <si>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</si>
  <si>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</si>
  <si>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</si>
  <si>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</si>
  <si>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</si>
  <si>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</si>
  <si>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</si>
  <si>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</si>
  <si>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</si>
  <si>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</si>
  <si>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</si>
  <si>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</si>
  <si>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</si>
  <si>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</si>
  <si>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</si>
  <si>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</si>
  <si>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</si>
  <si>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</si>
  <si>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</si>
  <si>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</si>
  <si>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</si>
  <si>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</si>
  <si>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</si>
  <si>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</si>
  <si>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</si>
  <si>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</si>
  <si>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</si>
  <si>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</si>
  <si>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</si>
  <si>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</si>
  <si>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</si>
  <si>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</si>
  <si>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</si>
  <si>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</si>
  <si>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</si>
  <si>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</si>
  <si>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</si>
  <si>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</si>
  <si>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</si>
  <si>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</si>
  <si>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</si>
  <si>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</si>
  <si>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</si>
  <si>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</si>
  <si>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</si>
  <si>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</si>
  <si>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</si>
  <si>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</si>
  <si>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</si>
  <si>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</si>
  <si>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</si>
  <si>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</si>
  <si>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</si>
  <si>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</si>
  <si>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</si>
  <si>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</si>
  <si>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</si>
  <si>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</si>
  <si>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</si>
  <si>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</si>
  <si>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</si>
  <si>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</si>
  <si>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</si>
  <si>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</si>
  <si>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</si>
  <si>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</si>
  <si>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</si>
  <si>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</si>
  <si>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</si>
  <si>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</si>
  <si>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</si>
  <si>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</si>
  <si>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</si>
  <si>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</si>
  <si>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</si>
  <si>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</si>
  <si>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</si>
  <si>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</si>
  <si>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</si>
  <si>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</si>
  <si>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</si>
  <si>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</si>
  <si>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</si>
  <si>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</si>
  <si>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</si>
  <si>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</si>
  <si>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</si>
  <si>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</si>
  <si>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</si>
  <si>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</si>
  <si>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</si>
  <si>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</si>
  <si>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</si>
  <si>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</si>
  <si>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</si>
  <si>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</si>
  <si>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</si>
  <si>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</si>
  <si>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</si>
  <si>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</si>
  <si>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</si>
  <si>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</si>
  <si>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</si>
  <si>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</si>
  <si>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</si>
  <si>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</si>
  <si>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</si>
  <si>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</si>
  <si>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</si>
  <si>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</si>
  <si>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</si>
  <si>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</si>
  <si>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</si>
  <si>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</si>
  <si>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</si>
  <si>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</si>
  <si>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</si>
  <si>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</si>
  <si>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</si>
  <si>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</si>
  <si>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</si>
  <si>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</si>
  <si>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</si>
  <si>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</si>
  <si>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</si>
  <si>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</si>
  <si>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</si>
  <si>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</si>
  <si>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</si>
  <si>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</si>
  <si>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</si>
  <si>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</si>
  <si>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</si>
  <si>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</si>
  <si>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</si>
  <si>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</si>
  <si>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</si>
  <si>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</si>
  <si>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</si>
  <si>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</si>
  <si>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</si>
  <si>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</si>
  <si>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</si>
  <si>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</si>
  <si>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</si>
  <si>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</si>
  <si>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</si>
  <si>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</si>
  <si>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</si>
  <si>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</si>
  <si>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</si>
  <si>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</si>
  <si>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</si>
  <si>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</si>
  <si>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</si>
  <si>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</si>
  <si>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</si>
  <si>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</si>
  <si>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t>A</t>
  </si>
  <si>
    <t>B</t>
  </si>
  <si>
    <t>C</t>
  </si>
  <si>
    <t>D</t>
  </si>
  <si>
    <t>Refers to average production of water per day.</t>
  </si>
  <si>
    <t>Data is for financial year (April–March, i.e. 2006 = 2006/07).</t>
  </si>
  <si>
    <t>In m3/per day and represents permits given for volumes of water that can be desalinated.</t>
  </si>
  <si>
    <t>Estimates from the Water Resources Authority.</t>
  </si>
  <si>
    <t>Includes mining and processing (60).</t>
  </si>
  <si>
    <t>Contact institution:  Statistical Institute of Jamaica</t>
  </si>
  <si>
    <t>Data refers to public water supply from the major supplier and does not include smaller operations.</t>
  </si>
  <si>
    <t>Manufacturing (ISIC 10-33)*</t>
  </si>
  <si>
    <t>*</t>
  </si>
  <si>
    <t>Manufacturing includes all industrial water withdrawals.</t>
  </si>
  <si>
    <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</si>
</sst>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11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8"/>
      <name val="Arial"/>
      <family val="2"/>
    </font>
    <font>
      <sz val="6"/>
      <color indexed="8"/>
      <name val="Arial"/>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Arial"/>
      <family val="2"/>
    </font>
    <font>
      <sz val="6"/>
      <color theme="1"/>
      <name val="Arial"/>
      <family val="2"/>
    </font>
    <font>
      <b/>
      <sz val="8"/>
      <color rgb="FFFF0000"/>
      <name val="Arial"/>
      <family val="2"/>
    </font>
    <font>
      <sz val="8"/>
      <color rgb="FFFF0000"/>
      <name val="Times New Roman"/>
      <family val="1"/>
    </font>
    <font>
      <sz val="10"/>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879">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6" fillId="0" borderId="30" xfId="57" applyFont="1" applyBorder="1">
      <alignment/>
      <protection/>
    </xf>
    <xf numFmtId="0" fontId="106"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0" fontId="107" fillId="0" borderId="29" xfId="0" applyFont="1" applyBorder="1" applyAlignment="1" applyProtection="1">
      <alignment horizontal="center" vertical="center" wrapText="1"/>
      <protection locked="0"/>
    </xf>
    <xf numFmtId="0" fontId="108" fillId="0" borderId="29" xfId="0" applyFont="1" applyBorder="1" applyAlignment="1" applyProtection="1">
      <alignment horizontal="left" vertical="center" wrapText="1"/>
      <protection locked="0"/>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0" fillId="0" borderId="0" xfId="0" applyFont="1" applyFill="1" applyAlignment="1">
      <alignment/>
    </xf>
    <xf numFmtId="0" fontId="65" fillId="40" borderId="0" xfId="0" applyFont="1" applyFill="1" applyAlignment="1">
      <alignment horizontal="center"/>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58"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9" fillId="0" borderId="0" xfId="0" applyFont="1" applyFill="1" applyAlignment="1" applyProtection="1">
      <alignment horizontal="left" vertical="top"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60"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41" borderId="84" xfId="0" applyFont="1" applyFill="1" applyBorder="1" applyAlignment="1" applyProtection="1">
      <alignment horizontal="center" vertical="center" wrapText="1"/>
      <protection/>
    </xf>
    <xf numFmtId="0" fontId="0" fillId="41" borderId="35" xfId="0" applyFill="1" applyBorder="1" applyAlignment="1">
      <alignment horizontal="center" vertical="center" wrapText="1"/>
    </xf>
    <xf numFmtId="0" fontId="0" fillId="41" borderId="85" xfId="0" applyFill="1" applyBorder="1" applyAlignment="1">
      <alignment horizontal="center" vertical="center" wrapText="1"/>
    </xf>
    <xf numFmtId="0" fontId="0" fillId="41" borderId="75"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1" xfId="0" applyFill="1" applyBorder="1" applyAlignment="1">
      <alignment horizontal="center" vertical="center"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0" fillId="41" borderId="58" xfId="0" applyFill="1" applyBorder="1" applyAlignment="1">
      <alignment wrapText="1"/>
    </xf>
    <xf numFmtId="0" fontId="0" fillId="41" borderId="59" xfId="0" applyFill="1" applyBorder="1" applyAlignment="1">
      <alignment wrapText="1"/>
    </xf>
    <xf numFmtId="0" fontId="0" fillId="41" borderId="82"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86" xfId="0" applyFill="1" applyBorder="1" applyAlignment="1">
      <alignment horizontal="center" vertical="center" wrapText="1"/>
    </xf>
    <xf numFmtId="0" fontId="9" fillId="41" borderId="60" xfId="0" applyFont="1" applyFill="1" applyBorder="1" applyAlignment="1" applyProtection="1">
      <alignment horizontal="center" vertical="center" wrapText="1"/>
      <protection/>
    </xf>
    <xf numFmtId="0" fontId="0" fillId="41" borderId="58" xfId="0" applyFill="1" applyBorder="1" applyAlignment="1">
      <alignment horizontal="center" vertical="center" wrapText="1"/>
    </xf>
    <xf numFmtId="0" fontId="0" fillId="41" borderId="59" xfId="0" applyFill="1" applyBorder="1" applyAlignment="1">
      <alignment horizontal="center" vertical="center" wrapText="1"/>
    </xf>
    <xf numFmtId="0" fontId="0" fillId="0" borderId="58" xfId="0" applyBorder="1" applyAlignment="1">
      <alignment wrapText="1"/>
    </xf>
    <xf numFmtId="0" fontId="0" fillId="0" borderId="59" xfId="0" applyBorder="1" applyAlignment="1">
      <alignment wrapText="1"/>
    </xf>
    <xf numFmtId="0" fontId="9" fillId="41" borderId="60" xfId="0" applyFont="1" applyFill="1" applyBorder="1" applyAlignment="1">
      <alignment horizontal="center" vertical="center" wrapText="1"/>
    </xf>
    <xf numFmtId="0" fontId="8" fillId="41" borderId="58" xfId="0" applyFont="1" applyFill="1" applyBorder="1" applyAlignment="1" applyProtection="1">
      <alignment horizontal="center" vertical="center" wrapText="1"/>
      <protection/>
    </xf>
    <xf numFmtId="0" fontId="8" fillId="41" borderId="59" xfId="0" applyFont="1" applyFill="1" applyBorder="1" applyAlignment="1" applyProtection="1">
      <alignment horizontal="center" vertical="center" wrapText="1"/>
      <protection/>
    </xf>
    <xf numFmtId="0" fontId="110" fillId="0" borderId="0" xfId="0" applyFont="1" applyAlignment="1" applyProtection="1">
      <alignment wrapText="1"/>
      <protection/>
    </xf>
    <xf numFmtId="0" fontId="111"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5" borderId="8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1"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1" xfId="0" applyFont="1" applyBorder="1" applyAlignment="1" applyProtection="1">
      <alignment wrapText="1"/>
      <protection locked="0"/>
    </xf>
    <xf numFmtId="0" fontId="0" fillId="0" borderId="34" xfId="0" applyBorder="1" applyAlignment="1" applyProtection="1">
      <alignment wrapText="1"/>
      <protection locked="0"/>
    </xf>
    <xf numFmtId="0" fontId="0" fillId="0" borderId="91"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71500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401002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3845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80072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6103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389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532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9145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290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4098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9090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972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865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7059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4357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54330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32422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32422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32422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32422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33375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55282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57225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73430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75335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75335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75335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74382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314700" y="9239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33375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91" t="s">
        <v>625</v>
      </c>
      <c r="C7" s="691"/>
      <c r="D7" s="691"/>
      <c r="E7" s="691"/>
      <c r="F7" s="691"/>
      <c r="G7" s="691"/>
      <c r="H7" s="691"/>
      <c r="I7" s="691"/>
      <c r="J7" s="691"/>
      <c r="K7" s="691"/>
      <c r="L7" s="691"/>
      <c r="M7" s="691"/>
    </row>
    <row r="8" spans="2:13" ht="24.75" customHeight="1">
      <c r="B8" s="692" t="s">
        <v>532</v>
      </c>
      <c r="C8" s="692"/>
      <c r="D8" s="692"/>
      <c r="E8" s="692"/>
      <c r="F8" s="692"/>
      <c r="G8" s="692"/>
      <c r="H8" s="692"/>
      <c r="I8" s="692"/>
      <c r="J8" s="692"/>
      <c r="K8" s="692"/>
      <c r="L8" s="692"/>
      <c r="M8" s="692"/>
    </row>
    <row r="10" spans="2:4" ht="18">
      <c r="B10" s="119" t="s">
        <v>309</v>
      </c>
      <c r="C10" s="120"/>
      <c r="D10" s="3"/>
    </row>
    <row r="11" spans="2:4" ht="10.5" customHeight="1">
      <c r="B11" s="4"/>
      <c r="C11" s="3"/>
      <c r="D11" s="3"/>
    </row>
    <row r="12" spans="1:13" s="23" customFormat="1" ht="16.5" customHeight="1">
      <c r="A12" s="18"/>
      <c r="B12" s="693" t="s">
        <v>316</v>
      </c>
      <c r="C12" s="693"/>
      <c r="D12" s="693"/>
      <c r="E12" s="693"/>
      <c r="F12" s="693"/>
      <c r="G12" s="693"/>
      <c r="H12" s="693"/>
      <c r="I12" s="693"/>
      <c r="J12" s="693"/>
      <c r="K12" s="693"/>
      <c r="L12" s="693"/>
      <c r="M12" s="693"/>
    </row>
    <row r="13" spans="2:13" ht="10.5" customHeight="1">
      <c r="B13" s="121"/>
      <c r="C13" s="122"/>
      <c r="D13" s="121"/>
      <c r="E13" s="10"/>
      <c r="F13" s="121"/>
      <c r="G13" s="54"/>
      <c r="H13" s="54"/>
      <c r="I13" s="54"/>
      <c r="J13" s="54"/>
      <c r="K13" s="54"/>
      <c r="L13" s="633"/>
      <c r="M13" s="634"/>
    </row>
    <row r="14" spans="2:11" ht="15.75" customHeight="1">
      <c r="B14" s="123" t="s">
        <v>317</v>
      </c>
      <c r="C14" s="694" t="s">
        <v>506</v>
      </c>
      <c r="D14" s="694"/>
      <c r="E14" s="694"/>
      <c r="F14" s="694"/>
      <c r="G14" s="694"/>
      <c r="H14" s="694"/>
      <c r="I14" s="694"/>
      <c r="J14" s="694"/>
      <c r="K14" s="694"/>
    </row>
    <row r="15" spans="2:11" ht="7.5" customHeight="1">
      <c r="B15" s="124"/>
      <c r="C15" s="686"/>
      <c r="D15" s="687"/>
      <c r="E15" s="687"/>
      <c r="F15" s="687"/>
      <c r="G15" s="687"/>
      <c r="H15" s="687"/>
      <c r="I15" s="687"/>
      <c r="J15" s="687"/>
      <c r="K15" s="688"/>
    </row>
    <row r="16" spans="2:11" ht="15.75" customHeight="1">
      <c r="B16" s="124" t="s">
        <v>318</v>
      </c>
      <c r="C16" s="686" t="s">
        <v>320</v>
      </c>
      <c r="D16" s="687"/>
      <c r="E16" s="687"/>
      <c r="F16" s="687"/>
      <c r="G16" s="687"/>
      <c r="H16" s="687"/>
      <c r="I16" s="687"/>
      <c r="J16" s="687"/>
      <c r="K16" s="688"/>
    </row>
    <row r="17" spans="2:11" ht="7.5" customHeight="1">
      <c r="B17" s="124"/>
      <c r="C17" s="686"/>
      <c r="D17" s="687"/>
      <c r="E17" s="687"/>
      <c r="F17" s="687"/>
      <c r="G17" s="687"/>
      <c r="H17" s="687"/>
      <c r="I17" s="687"/>
      <c r="J17" s="687"/>
      <c r="K17" s="688"/>
    </row>
    <row r="18" spans="2:12" ht="15.75" customHeight="1">
      <c r="B18" s="124" t="s">
        <v>321</v>
      </c>
      <c r="C18" s="686" t="s">
        <v>146</v>
      </c>
      <c r="D18" s="690"/>
      <c r="E18" s="690"/>
      <c r="F18" s="690"/>
      <c r="G18" s="690"/>
      <c r="H18" s="690"/>
      <c r="I18" s="690"/>
      <c r="J18" s="690"/>
      <c r="K18" s="690"/>
      <c r="L18" s="90" t="s">
        <v>77</v>
      </c>
    </row>
    <row r="19" spans="2:11" ht="7.5" customHeight="1">
      <c r="B19" s="124"/>
      <c r="C19" s="686"/>
      <c r="D19" s="687"/>
      <c r="E19" s="687"/>
      <c r="F19" s="687"/>
      <c r="G19" s="687"/>
      <c r="H19" s="687"/>
      <c r="I19" s="687"/>
      <c r="J19" s="687"/>
      <c r="K19" s="688"/>
    </row>
    <row r="20" spans="2:12" ht="15.75" customHeight="1">
      <c r="B20" s="124" t="s">
        <v>322</v>
      </c>
      <c r="C20" s="686" t="s">
        <v>86</v>
      </c>
      <c r="D20" s="690"/>
      <c r="E20" s="690"/>
      <c r="F20" s="690"/>
      <c r="G20" s="690"/>
      <c r="H20" s="690"/>
      <c r="I20" s="690"/>
      <c r="J20" s="690"/>
      <c r="K20" s="690"/>
      <c r="L20" s="90" t="s">
        <v>306</v>
      </c>
    </row>
    <row r="21" spans="2:11" ht="7.5" customHeight="1">
      <c r="B21" s="124"/>
      <c r="C21" s="686"/>
      <c r="D21" s="687"/>
      <c r="E21" s="687"/>
      <c r="F21" s="687"/>
      <c r="G21" s="687"/>
      <c r="H21" s="687"/>
      <c r="I21" s="687"/>
      <c r="J21" s="687"/>
      <c r="K21" s="688"/>
    </row>
    <row r="22" spans="2:12" ht="15.75" customHeight="1">
      <c r="B22" s="124" t="s">
        <v>323</v>
      </c>
      <c r="C22" s="686" t="s">
        <v>50</v>
      </c>
      <c r="D22" s="690"/>
      <c r="E22" s="690"/>
      <c r="F22" s="690"/>
      <c r="G22" s="690"/>
      <c r="H22" s="690"/>
      <c r="I22" s="690"/>
      <c r="J22" s="690"/>
      <c r="K22" s="690"/>
      <c r="L22" s="90" t="s">
        <v>82</v>
      </c>
    </row>
    <row r="23" spans="2:11" ht="7.5" customHeight="1">
      <c r="B23" s="124"/>
      <c r="C23" s="686"/>
      <c r="D23" s="687"/>
      <c r="E23" s="687"/>
      <c r="F23" s="687"/>
      <c r="G23" s="687"/>
      <c r="H23" s="687"/>
      <c r="I23" s="687"/>
      <c r="J23" s="687"/>
      <c r="K23" s="688"/>
    </row>
    <row r="24" spans="2:12" ht="15.75" customHeight="1">
      <c r="B24" s="124" t="s">
        <v>277</v>
      </c>
      <c r="C24" s="686" t="s">
        <v>87</v>
      </c>
      <c r="D24" s="687"/>
      <c r="E24" s="687"/>
      <c r="F24" s="687"/>
      <c r="G24" s="687"/>
      <c r="H24" s="687"/>
      <c r="I24" s="687"/>
      <c r="J24" s="687"/>
      <c r="K24" s="688"/>
      <c r="L24" s="90" t="s">
        <v>35</v>
      </c>
    </row>
    <row r="25" spans="2:11" ht="7.5" customHeight="1">
      <c r="B25" s="124"/>
      <c r="C25" s="686"/>
      <c r="D25" s="687"/>
      <c r="E25" s="687"/>
      <c r="F25" s="687"/>
      <c r="G25" s="687"/>
      <c r="H25" s="687"/>
      <c r="I25" s="687"/>
      <c r="J25" s="687"/>
      <c r="K25" s="688"/>
    </row>
    <row r="26" spans="2:12" ht="15.75" customHeight="1">
      <c r="B26" s="124" t="s">
        <v>330</v>
      </c>
      <c r="C26" s="686" t="s">
        <v>147</v>
      </c>
      <c r="D26" s="690"/>
      <c r="E26" s="690"/>
      <c r="F26" s="690"/>
      <c r="G26" s="690"/>
      <c r="H26" s="690"/>
      <c r="I26" s="690"/>
      <c r="J26" s="690"/>
      <c r="K26" s="690"/>
      <c r="L26" s="90" t="s">
        <v>83</v>
      </c>
    </row>
    <row r="27" spans="2:11" ht="7.5" customHeight="1">
      <c r="B27" s="124"/>
      <c r="C27" s="686"/>
      <c r="D27" s="687"/>
      <c r="E27" s="687"/>
      <c r="F27" s="687"/>
      <c r="G27" s="687"/>
      <c r="H27" s="687"/>
      <c r="I27" s="687"/>
      <c r="J27" s="687"/>
      <c r="K27" s="688"/>
    </row>
    <row r="28" spans="2:11" ht="15.75" customHeight="1">
      <c r="B28" s="124" t="s">
        <v>278</v>
      </c>
      <c r="C28" s="686" t="s">
        <v>137</v>
      </c>
      <c r="D28" s="687"/>
      <c r="E28" s="687"/>
      <c r="F28" s="687"/>
      <c r="G28" s="687"/>
      <c r="H28" s="687"/>
      <c r="I28" s="687"/>
      <c r="J28" s="687"/>
      <c r="K28" s="688"/>
    </row>
    <row r="29" spans="2:13" s="7" customFormat="1" ht="15">
      <c r="B29" s="12"/>
      <c r="C29" s="689"/>
      <c r="D29" s="689"/>
      <c r="E29" s="689"/>
      <c r="F29" s="689"/>
      <c r="G29" s="689"/>
      <c r="H29" s="689"/>
      <c r="I29" s="689"/>
      <c r="J29" s="689"/>
      <c r="K29" s="689"/>
      <c r="L29" s="635"/>
      <c r="M29" s="63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C20:K20"/>
    <mergeCell ref="B8:M8"/>
    <mergeCell ref="B12:M12"/>
    <mergeCell ref="C14:K14"/>
    <mergeCell ref="C15:K15"/>
    <mergeCell ref="C19:K19"/>
    <mergeCell ref="C17:K17"/>
    <mergeCell ref="C16:K16"/>
    <mergeCell ref="C18:K18"/>
    <mergeCell ref="C21:K21"/>
    <mergeCell ref="C29:K29"/>
    <mergeCell ref="C28:K28"/>
    <mergeCell ref="C23:K23"/>
    <mergeCell ref="C26:K26"/>
    <mergeCell ref="C25:K25"/>
    <mergeCell ref="C27:K27"/>
    <mergeCell ref="C24:K24"/>
    <mergeCell ref="C22:K22"/>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A1" sqref="A1"/>
    </sheetView>
  </sheetViews>
  <sheetFormatPr defaultColWidth="9.33203125" defaultRowHeight="12.75"/>
  <cols>
    <col min="1" max="1" width="6.66015625" style="0" hidden="1" customWidth="1"/>
    <col min="2" max="2" width="4" style="33" hidden="1" customWidth="1"/>
    <col min="3" max="3" width="14.16015625" style="3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7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3:18" s="34" customFormat="1" ht="15">
      <c r="C3" s="29" t="s">
        <v>311</v>
      </c>
      <c r="D3" s="30"/>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71" t="s">
        <v>206</v>
      </c>
      <c r="D5" s="872"/>
      <c r="E5" s="872"/>
      <c r="F5" s="872"/>
      <c r="G5" s="872"/>
      <c r="H5" s="872"/>
      <c r="I5" s="872"/>
      <c r="J5" s="872"/>
      <c r="K5" s="872"/>
      <c r="L5" s="872"/>
      <c r="M5" s="872"/>
      <c r="N5" s="27"/>
      <c r="O5" s="27"/>
      <c r="P5" s="27"/>
    </row>
    <row r="6" ht="9.75" customHeight="1"/>
    <row r="7" spans="3:16" ht="17.25" customHeight="1">
      <c r="C7" s="868" t="s">
        <v>12</v>
      </c>
      <c r="D7" s="869"/>
      <c r="E7" s="869"/>
      <c r="F7" s="869"/>
      <c r="G7" s="869"/>
      <c r="H7" s="869"/>
      <c r="I7" s="869"/>
      <c r="J7" s="869"/>
      <c r="K7" s="869"/>
      <c r="L7" s="869"/>
      <c r="M7" s="869"/>
      <c r="N7" s="869"/>
      <c r="O7" s="869"/>
      <c r="P7" s="870"/>
    </row>
    <row r="8" spans="3:16" ht="25.5" customHeight="1">
      <c r="C8" s="876"/>
      <c r="D8" s="877"/>
      <c r="E8" s="877"/>
      <c r="F8" s="877"/>
      <c r="G8" s="877"/>
      <c r="H8" s="877"/>
      <c r="I8" s="877"/>
      <c r="J8" s="877"/>
      <c r="K8" s="877"/>
      <c r="L8" s="877"/>
      <c r="M8" s="877"/>
      <c r="N8" s="877"/>
      <c r="O8" s="877"/>
      <c r="P8" s="878"/>
    </row>
    <row r="9" spans="3:16" ht="39" customHeight="1">
      <c r="C9" s="873" t="s">
        <v>266</v>
      </c>
      <c r="D9" s="874"/>
      <c r="E9" s="874"/>
      <c r="F9" s="874"/>
      <c r="G9" s="874"/>
      <c r="H9" s="874"/>
      <c r="I9" s="874"/>
      <c r="J9" s="874"/>
      <c r="K9" s="874"/>
      <c r="L9" s="874"/>
      <c r="M9" s="874"/>
      <c r="N9" s="874"/>
      <c r="O9" s="874"/>
      <c r="P9" s="875"/>
    </row>
    <row r="10" spans="3:16" ht="15" customHeight="1">
      <c r="C10" s="858"/>
      <c r="D10" s="859"/>
      <c r="E10" s="859"/>
      <c r="F10" s="859"/>
      <c r="G10" s="859"/>
      <c r="H10" s="859"/>
      <c r="I10" s="859"/>
      <c r="J10" s="859"/>
      <c r="K10" s="859"/>
      <c r="L10" s="859"/>
      <c r="M10" s="859"/>
      <c r="N10" s="859"/>
      <c r="O10" s="859"/>
      <c r="P10" s="860"/>
    </row>
    <row r="11" spans="3:16" ht="15" customHeight="1">
      <c r="C11" s="858"/>
      <c r="D11" s="859"/>
      <c r="E11" s="859"/>
      <c r="F11" s="859"/>
      <c r="G11" s="859"/>
      <c r="H11" s="859"/>
      <c r="I11" s="859"/>
      <c r="J11" s="859"/>
      <c r="K11" s="859"/>
      <c r="L11" s="859"/>
      <c r="M11" s="859"/>
      <c r="N11" s="859"/>
      <c r="O11" s="859"/>
      <c r="P11" s="860"/>
    </row>
    <row r="12" spans="3:16" ht="15" customHeight="1">
      <c r="C12" s="858"/>
      <c r="D12" s="859"/>
      <c r="E12" s="859"/>
      <c r="F12" s="859"/>
      <c r="G12" s="859"/>
      <c r="H12" s="859"/>
      <c r="I12" s="859"/>
      <c r="J12" s="859"/>
      <c r="K12" s="859"/>
      <c r="L12" s="859"/>
      <c r="M12" s="859"/>
      <c r="N12" s="859"/>
      <c r="O12" s="859"/>
      <c r="P12" s="860"/>
    </row>
    <row r="13" spans="3:16" ht="15" customHeight="1">
      <c r="C13" s="858"/>
      <c r="D13" s="861"/>
      <c r="E13" s="861"/>
      <c r="F13" s="861"/>
      <c r="G13" s="861"/>
      <c r="H13" s="861"/>
      <c r="I13" s="861"/>
      <c r="J13" s="861"/>
      <c r="K13" s="861"/>
      <c r="L13" s="861"/>
      <c r="M13" s="861"/>
      <c r="N13" s="861"/>
      <c r="O13" s="861"/>
      <c r="P13" s="862"/>
    </row>
    <row r="14" spans="3:16" ht="15" customHeight="1">
      <c r="C14" s="858"/>
      <c r="D14" s="859"/>
      <c r="E14" s="859"/>
      <c r="F14" s="859"/>
      <c r="G14" s="859"/>
      <c r="H14" s="859"/>
      <c r="I14" s="859"/>
      <c r="J14" s="859"/>
      <c r="K14" s="859"/>
      <c r="L14" s="859"/>
      <c r="M14" s="859"/>
      <c r="N14" s="859"/>
      <c r="O14" s="859"/>
      <c r="P14" s="860"/>
    </row>
    <row r="15" spans="3:16" ht="15" customHeight="1">
      <c r="C15" s="858"/>
      <c r="D15" s="859"/>
      <c r="E15" s="859"/>
      <c r="F15" s="859"/>
      <c r="G15" s="859"/>
      <c r="H15" s="859"/>
      <c r="I15" s="859"/>
      <c r="J15" s="859"/>
      <c r="K15" s="859"/>
      <c r="L15" s="859"/>
      <c r="M15" s="859"/>
      <c r="N15" s="859"/>
      <c r="O15" s="859"/>
      <c r="P15" s="860"/>
    </row>
    <row r="16" spans="3:16" ht="15" customHeight="1">
      <c r="C16" s="858"/>
      <c r="D16" s="859"/>
      <c r="E16" s="859"/>
      <c r="F16" s="859"/>
      <c r="G16" s="859"/>
      <c r="H16" s="859"/>
      <c r="I16" s="859"/>
      <c r="J16" s="859"/>
      <c r="K16" s="859"/>
      <c r="L16" s="859"/>
      <c r="M16" s="859"/>
      <c r="N16" s="859"/>
      <c r="O16" s="859"/>
      <c r="P16" s="860"/>
    </row>
    <row r="17" spans="3:16" ht="15" customHeight="1">
      <c r="C17" s="858"/>
      <c r="D17" s="861"/>
      <c r="E17" s="861"/>
      <c r="F17" s="861"/>
      <c r="G17" s="861"/>
      <c r="H17" s="861"/>
      <c r="I17" s="861"/>
      <c r="J17" s="861"/>
      <c r="K17" s="861"/>
      <c r="L17" s="861"/>
      <c r="M17" s="861"/>
      <c r="N17" s="861"/>
      <c r="O17" s="861"/>
      <c r="P17" s="862"/>
    </row>
    <row r="18" spans="3:16" ht="15" customHeight="1">
      <c r="C18" s="858"/>
      <c r="D18" s="861"/>
      <c r="E18" s="861"/>
      <c r="F18" s="861"/>
      <c r="G18" s="861"/>
      <c r="H18" s="861"/>
      <c r="I18" s="861"/>
      <c r="J18" s="861"/>
      <c r="K18" s="861"/>
      <c r="L18" s="861"/>
      <c r="M18" s="861"/>
      <c r="N18" s="861"/>
      <c r="O18" s="861"/>
      <c r="P18" s="862"/>
    </row>
    <row r="19" spans="3:16" ht="15" customHeight="1">
      <c r="C19" s="868" t="s">
        <v>45</v>
      </c>
      <c r="D19" s="869"/>
      <c r="E19" s="869"/>
      <c r="F19" s="869"/>
      <c r="G19" s="869"/>
      <c r="H19" s="869"/>
      <c r="I19" s="869"/>
      <c r="J19" s="869"/>
      <c r="K19" s="869"/>
      <c r="L19" s="869"/>
      <c r="M19" s="869"/>
      <c r="N19" s="869"/>
      <c r="O19" s="869"/>
      <c r="P19" s="870"/>
    </row>
    <row r="20" spans="3:16" ht="15" customHeight="1">
      <c r="C20" s="858"/>
      <c r="D20" s="863"/>
      <c r="E20" s="863"/>
      <c r="F20" s="863"/>
      <c r="G20" s="863"/>
      <c r="H20" s="863"/>
      <c r="I20" s="863"/>
      <c r="J20" s="863"/>
      <c r="K20" s="863"/>
      <c r="L20" s="863"/>
      <c r="M20" s="863"/>
      <c r="N20" s="863"/>
      <c r="O20" s="863"/>
      <c r="P20" s="864"/>
    </row>
    <row r="21" spans="3:16" ht="15" customHeight="1">
      <c r="C21" s="858"/>
      <c r="D21" s="863"/>
      <c r="E21" s="863"/>
      <c r="F21" s="863"/>
      <c r="G21" s="863"/>
      <c r="H21" s="863"/>
      <c r="I21" s="863"/>
      <c r="J21" s="863"/>
      <c r="K21" s="863"/>
      <c r="L21" s="863"/>
      <c r="M21" s="863"/>
      <c r="N21" s="863"/>
      <c r="O21" s="863"/>
      <c r="P21" s="864"/>
    </row>
    <row r="22" spans="3:16" ht="15" customHeight="1">
      <c r="C22" s="858"/>
      <c r="D22" s="863"/>
      <c r="E22" s="863"/>
      <c r="F22" s="863"/>
      <c r="G22" s="863"/>
      <c r="H22" s="863"/>
      <c r="I22" s="863"/>
      <c r="J22" s="863"/>
      <c r="K22" s="863"/>
      <c r="L22" s="863"/>
      <c r="M22" s="863"/>
      <c r="N22" s="863"/>
      <c r="O22" s="863"/>
      <c r="P22" s="864"/>
    </row>
    <row r="23" spans="3:16" ht="15" customHeight="1">
      <c r="C23" s="858"/>
      <c r="D23" s="863"/>
      <c r="E23" s="863"/>
      <c r="F23" s="863"/>
      <c r="G23" s="863"/>
      <c r="H23" s="863"/>
      <c r="I23" s="863"/>
      <c r="J23" s="863"/>
      <c r="K23" s="863"/>
      <c r="L23" s="863"/>
      <c r="M23" s="863"/>
      <c r="N23" s="863"/>
      <c r="O23" s="863"/>
      <c r="P23" s="864"/>
    </row>
    <row r="24" spans="3:16" ht="15" customHeight="1">
      <c r="C24" s="865"/>
      <c r="D24" s="866"/>
      <c r="E24" s="866"/>
      <c r="F24" s="866"/>
      <c r="G24" s="866"/>
      <c r="H24" s="866"/>
      <c r="I24" s="866"/>
      <c r="J24" s="866"/>
      <c r="K24" s="866"/>
      <c r="L24" s="866"/>
      <c r="M24" s="866"/>
      <c r="N24" s="866"/>
      <c r="O24" s="866"/>
      <c r="P24" s="867"/>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3"/>
      <c r="B1" s="28" t="s">
        <v>308</v>
      </c>
    </row>
    <row r="2" ht="9.75" customHeight="1"/>
    <row r="3" spans="2:11" s="17" customFormat="1" ht="16.5" customHeight="1">
      <c r="B3" s="707" t="s">
        <v>325</v>
      </c>
      <c r="C3" s="707"/>
      <c r="D3" s="707"/>
      <c r="E3" s="707"/>
      <c r="F3" s="707"/>
      <c r="G3" s="707"/>
      <c r="H3" s="707"/>
      <c r="I3" s="707"/>
      <c r="J3" s="707"/>
      <c r="K3" s="707"/>
    </row>
    <row r="4" ht="9.75" customHeight="1">
      <c r="C4" s="13"/>
    </row>
    <row r="5" spans="2:11" s="17" customFormat="1" ht="15.75">
      <c r="B5" s="710" t="s">
        <v>326</v>
      </c>
      <c r="C5" s="710"/>
      <c r="D5" s="710"/>
      <c r="E5" s="710"/>
      <c r="F5" s="710"/>
      <c r="G5" s="710"/>
      <c r="H5" s="710"/>
      <c r="I5" s="710"/>
      <c r="J5" s="710"/>
      <c r="K5" s="710"/>
    </row>
    <row r="6" spans="2:10" ht="7.5" customHeight="1">
      <c r="B6" s="14"/>
      <c r="C6" s="15"/>
      <c r="D6" s="9"/>
      <c r="F6" s="9"/>
      <c r="G6" s="6"/>
      <c r="H6" s="6"/>
      <c r="I6" s="6"/>
      <c r="J6" s="6"/>
    </row>
    <row r="7" spans="2:11" s="10" customFormat="1" ht="40.5" customHeight="1">
      <c r="B7" s="708" t="s">
        <v>628</v>
      </c>
      <c r="C7" s="708"/>
      <c r="D7" s="708"/>
      <c r="E7" s="708"/>
      <c r="F7" s="708"/>
      <c r="G7" s="708"/>
      <c r="H7" s="708"/>
      <c r="I7" s="708"/>
      <c r="J7" s="708"/>
      <c r="K7" s="708"/>
    </row>
    <row r="8" spans="2:11" s="10" customFormat="1" ht="7.5" customHeight="1">
      <c r="B8" s="40"/>
      <c r="C8" s="40"/>
      <c r="D8" s="40"/>
      <c r="E8" s="40"/>
      <c r="F8" s="40"/>
      <c r="G8" s="40"/>
      <c r="H8" s="40"/>
      <c r="I8" s="40"/>
      <c r="J8" s="40"/>
      <c r="K8" s="40"/>
    </row>
    <row r="9" spans="2:11" s="10" customFormat="1" ht="27" customHeight="1">
      <c r="B9" s="708" t="s">
        <v>181</v>
      </c>
      <c r="C9" s="723"/>
      <c r="D9" s="723"/>
      <c r="E9" s="723"/>
      <c r="F9" s="723"/>
      <c r="G9" s="723"/>
      <c r="H9" s="723"/>
      <c r="I9" s="723"/>
      <c r="J9" s="723"/>
      <c r="K9" s="723"/>
    </row>
    <row r="10" spans="2:11" s="10" customFormat="1" ht="4.5" customHeight="1">
      <c r="B10" s="125"/>
      <c r="C10" s="125"/>
      <c r="D10" s="125"/>
      <c r="E10" s="125"/>
      <c r="F10" s="125"/>
      <c r="G10" s="125"/>
      <c r="H10" s="125"/>
      <c r="I10" s="125"/>
      <c r="J10" s="125"/>
      <c r="K10" s="125"/>
    </row>
    <row r="11" spans="2:11" s="2" customFormat="1" ht="26.25" customHeight="1">
      <c r="B11" s="699" t="s">
        <v>629</v>
      </c>
      <c r="C11" s="699"/>
      <c r="D11" s="699"/>
      <c r="E11" s="699"/>
      <c r="F11" s="699"/>
      <c r="G11" s="699"/>
      <c r="H11" s="699"/>
      <c r="I11" s="699"/>
      <c r="J11" s="699"/>
      <c r="K11" s="699"/>
    </row>
    <row r="12" spans="2:11" s="10" customFormat="1" ht="4.5" customHeight="1">
      <c r="B12" s="40"/>
      <c r="C12" s="40"/>
      <c r="D12" s="40"/>
      <c r="E12" s="40"/>
      <c r="F12" s="40"/>
      <c r="G12" s="40"/>
      <c r="H12" s="40"/>
      <c r="I12" s="40"/>
      <c r="J12" s="40"/>
      <c r="K12" s="40"/>
    </row>
    <row r="13" spans="2:11" s="10" customFormat="1" ht="18.75" customHeight="1">
      <c r="B13" s="697" t="s">
        <v>180</v>
      </c>
      <c r="C13" s="697"/>
      <c r="D13" s="697"/>
      <c r="E13" s="697"/>
      <c r="F13" s="697"/>
      <c r="G13" s="697"/>
      <c r="H13" s="697"/>
      <c r="I13" s="697"/>
      <c r="J13" s="697"/>
      <c r="K13" s="697"/>
    </row>
    <row r="14" spans="2:11" s="10" customFormat="1" ht="4.5" customHeight="1">
      <c r="B14" s="40"/>
      <c r="C14" s="40"/>
      <c r="D14" s="40"/>
      <c r="E14" s="40"/>
      <c r="F14" s="40"/>
      <c r="G14" s="40"/>
      <c r="H14" s="40"/>
      <c r="I14" s="40"/>
      <c r="J14" s="40"/>
      <c r="K14" s="40"/>
    </row>
    <row r="15" spans="2:11" s="51" customFormat="1" ht="26.25" customHeight="1">
      <c r="B15" s="722" t="s">
        <v>620</v>
      </c>
      <c r="C15" s="722"/>
      <c r="D15" s="722"/>
      <c r="E15" s="722"/>
      <c r="F15" s="722"/>
      <c r="G15" s="722"/>
      <c r="H15" s="722"/>
      <c r="I15" s="722"/>
      <c r="J15" s="722"/>
      <c r="K15" s="722"/>
    </row>
    <row r="16" spans="2:11" s="10" customFormat="1" ht="4.5" customHeight="1">
      <c r="B16" s="40"/>
      <c r="C16" s="40"/>
      <c r="D16" s="40"/>
      <c r="E16" s="40"/>
      <c r="F16" s="40"/>
      <c r="G16" s="40"/>
      <c r="H16" s="40"/>
      <c r="I16" s="40"/>
      <c r="J16" s="40"/>
      <c r="K16" s="40"/>
    </row>
    <row r="17" spans="2:11" s="10" customFormat="1" ht="29.25" customHeight="1">
      <c r="B17" s="708" t="s">
        <v>44</v>
      </c>
      <c r="C17" s="708"/>
      <c r="D17" s="708"/>
      <c r="E17" s="708"/>
      <c r="F17" s="708"/>
      <c r="G17" s="708"/>
      <c r="H17" s="708"/>
      <c r="I17" s="708"/>
      <c r="J17" s="708"/>
      <c r="K17" s="708"/>
    </row>
    <row r="18" spans="2:11" s="10" customFormat="1" ht="4.5" customHeight="1">
      <c r="B18" s="125"/>
      <c r="C18" s="125"/>
      <c r="D18" s="125"/>
      <c r="E18" s="125"/>
      <c r="F18" s="125"/>
      <c r="G18" s="125"/>
      <c r="H18" s="125"/>
      <c r="I18" s="125"/>
      <c r="J18" s="125"/>
      <c r="K18" s="125"/>
    </row>
    <row r="19" spans="2:11" s="10" customFormat="1" ht="26.25" customHeight="1">
      <c r="B19" s="708" t="s">
        <v>196</v>
      </c>
      <c r="C19" s="708"/>
      <c r="D19" s="708"/>
      <c r="E19" s="708"/>
      <c r="F19" s="708"/>
      <c r="G19" s="708"/>
      <c r="H19" s="708"/>
      <c r="I19" s="708"/>
      <c r="J19" s="708"/>
      <c r="K19" s="708"/>
    </row>
    <row r="20" spans="2:11" s="10" customFormat="1" ht="4.5" customHeight="1">
      <c r="B20" s="118"/>
      <c r="C20" s="118"/>
      <c r="D20" s="118"/>
      <c r="E20" s="118"/>
      <c r="F20" s="118"/>
      <c r="G20" s="118"/>
      <c r="H20" s="118"/>
      <c r="I20" s="118"/>
      <c r="J20" s="118"/>
      <c r="K20" s="118"/>
    </row>
    <row r="21" spans="2:11" s="10" customFormat="1" ht="26.25" customHeight="1">
      <c r="B21" s="708" t="s">
        <v>533</v>
      </c>
      <c r="C21" s="708"/>
      <c r="D21" s="708"/>
      <c r="E21" s="708"/>
      <c r="F21" s="708"/>
      <c r="G21" s="708"/>
      <c r="H21" s="708"/>
      <c r="I21" s="708"/>
      <c r="J21" s="708"/>
      <c r="K21" s="708"/>
    </row>
    <row r="22" spans="2:11" s="10" customFormat="1" ht="26.25" customHeight="1">
      <c r="B22" s="720" t="s">
        <v>76</v>
      </c>
      <c r="C22" s="720"/>
      <c r="D22" s="720"/>
      <c r="E22" s="720"/>
      <c r="F22" s="720"/>
      <c r="G22" s="720"/>
      <c r="H22" s="720"/>
      <c r="I22" s="720"/>
      <c r="J22" s="720"/>
      <c r="K22" s="720"/>
    </row>
    <row r="23" spans="2:11" s="10" customFormat="1" ht="6.75" customHeight="1">
      <c r="B23" s="127"/>
      <c r="C23" s="40"/>
      <c r="D23" s="40"/>
      <c r="E23" s="40"/>
      <c r="F23" s="40"/>
      <c r="G23" s="40"/>
      <c r="H23" s="40"/>
      <c r="I23" s="40"/>
      <c r="J23" s="40"/>
      <c r="K23" s="40"/>
    </row>
    <row r="24" spans="2:11" s="10" customFormat="1" ht="38.25" customHeight="1">
      <c r="B24" s="708" t="s">
        <v>619</v>
      </c>
      <c r="C24" s="708"/>
      <c r="D24" s="708"/>
      <c r="E24" s="711"/>
      <c r="F24" s="711"/>
      <c r="G24" s="711"/>
      <c r="H24" s="711"/>
      <c r="I24" s="711"/>
      <c r="J24" s="711"/>
      <c r="K24" s="711"/>
    </row>
    <row r="25" spans="2:11" s="10" customFormat="1" ht="18" customHeight="1">
      <c r="B25" s="713" t="s">
        <v>572</v>
      </c>
      <c r="C25" s="714"/>
      <c r="D25" s="714"/>
      <c r="E25" s="714"/>
      <c r="F25" s="714"/>
      <c r="G25" s="714"/>
      <c r="H25" s="714"/>
      <c r="I25" s="714"/>
      <c r="J25" s="714"/>
      <c r="K25" s="714"/>
    </row>
    <row r="26" spans="2:11" s="10" customFormat="1" ht="45" customHeight="1">
      <c r="B26" s="708" t="s">
        <v>618</v>
      </c>
      <c r="C26" s="712"/>
      <c r="D26" s="712"/>
      <c r="E26" s="712"/>
      <c r="F26" s="712"/>
      <c r="G26" s="712"/>
      <c r="H26" s="712"/>
      <c r="I26" s="712"/>
      <c r="J26" s="712"/>
      <c r="K26" s="712"/>
    </row>
    <row r="27" spans="2:11" ht="10.5" customHeight="1">
      <c r="B27" s="118"/>
      <c r="C27" s="118"/>
      <c r="D27" s="118"/>
      <c r="E27" s="118"/>
      <c r="F27" s="118"/>
      <c r="G27" s="118"/>
      <c r="H27" s="118"/>
      <c r="I27" s="118"/>
      <c r="J27" s="118"/>
      <c r="K27" s="118"/>
    </row>
    <row r="28" spans="2:11" s="10" customFormat="1" ht="8.25" customHeight="1">
      <c r="B28" s="708"/>
      <c r="C28" s="709"/>
      <c r="D28" s="709"/>
      <c r="E28" s="709"/>
      <c r="F28" s="709"/>
      <c r="G28" s="709"/>
      <c r="H28" s="709"/>
      <c r="I28" s="709"/>
      <c r="J28" s="709"/>
      <c r="K28" s="709"/>
    </row>
    <row r="29" spans="2:11" ht="0.75" customHeight="1">
      <c r="B29" s="175"/>
      <c r="C29" s="176"/>
      <c r="D29" s="176"/>
      <c r="E29" s="176"/>
      <c r="F29" s="176"/>
      <c r="G29" s="176"/>
      <c r="H29" s="176"/>
      <c r="I29" s="176"/>
      <c r="J29" s="176"/>
      <c r="K29" s="177"/>
    </row>
    <row r="30" spans="2:11" s="17" customFormat="1" ht="15.75">
      <c r="B30" s="710" t="s">
        <v>327</v>
      </c>
      <c r="C30" s="721"/>
      <c r="D30" s="721"/>
      <c r="E30" s="721"/>
      <c r="F30" s="721"/>
      <c r="G30" s="721"/>
      <c r="H30" s="721"/>
      <c r="I30" s="721"/>
      <c r="J30" s="721"/>
      <c r="K30" s="721"/>
    </row>
    <row r="31" spans="2:11" ht="7.5" customHeight="1">
      <c r="B31" s="91"/>
      <c r="C31" s="38"/>
      <c r="D31" s="91"/>
      <c r="E31" s="38"/>
      <c r="F31" s="91"/>
      <c r="G31" s="38"/>
      <c r="H31" s="91"/>
      <c r="I31" s="38"/>
      <c r="J31" s="91"/>
      <c r="K31" s="38"/>
    </row>
    <row r="32" spans="2:11" ht="7.5" customHeight="1">
      <c r="B32" s="695"/>
      <c r="C32" s="695"/>
      <c r="D32" s="695"/>
      <c r="E32" s="695"/>
      <c r="F32" s="695"/>
      <c r="G32" s="695"/>
      <c r="H32" s="695"/>
      <c r="I32" s="695"/>
      <c r="J32" s="695"/>
      <c r="K32" s="695"/>
    </row>
    <row r="33" spans="2:11" s="51" customFormat="1" ht="15.75" customHeight="1">
      <c r="B33" s="129" t="s">
        <v>328</v>
      </c>
      <c r="C33" s="699" t="s">
        <v>185</v>
      </c>
      <c r="D33" s="699"/>
      <c r="E33" s="699"/>
      <c r="F33" s="699"/>
      <c r="G33" s="699"/>
      <c r="H33" s="699"/>
      <c r="I33" s="699"/>
      <c r="J33" s="699"/>
      <c r="K33" s="699"/>
    </row>
    <row r="34" spans="2:11" s="51" customFormat="1" ht="26.25" customHeight="1">
      <c r="B34" s="129" t="s">
        <v>328</v>
      </c>
      <c r="C34" s="696" t="s">
        <v>630</v>
      </c>
      <c r="D34" s="696"/>
      <c r="E34" s="696"/>
      <c r="F34" s="696"/>
      <c r="G34" s="696"/>
      <c r="H34" s="696"/>
      <c r="I34" s="696"/>
      <c r="J34" s="696"/>
      <c r="K34" s="696"/>
    </row>
    <row r="35" spans="2:11" s="41" customFormat="1" ht="51" customHeight="1">
      <c r="B35" s="129" t="s">
        <v>328</v>
      </c>
      <c r="C35" s="696" t="s">
        <v>105</v>
      </c>
      <c r="D35" s="696"/>
      <c r="E35" s="696"/>
      <c r="F35" s="696"/>
      <c r="G35" s="696"/>
      <c r="H35" s="696"/>
      <c r="I35" s="696"/>
      <c r="J35" s="696"/>
      <c r="K35" s="696"/>
    </row>
    <row r="36" spans="2:11" s="51" customFormat="1" ht="26.25" customHeight="1">
      <c r="B36" s="130" t="s">
        <v>328</v>
      </c>
      <c r="C36" s="700" t="s">
        <v>138</v>
      </c>
      <c r="D36" s="700"/>
      <c r="E36" s="700"/>
      <c r="F36" s="700"/>
      <c r="G36" s="700"/>
      <c r="H36" s="700"/>
      <c r="I36" s="700"/>
      <c r="J36" s="700"/>
      <c r="K36" s="700"/>
    </row>
    <row r="37" spans="2:11" s="51" customFormat="1" ht="27.75" customHeight="1">
      <c r="B37" s="130" t="s">
        <v>328</v>
      </c>
      <c r="C37" s="716" t="s">
        <v>186</v>
      </c>
      <c r="D37" s="716"/>
      <c r="E37" s="716"/>
      <c r="F37" s="716"/>
      <c r="G37" s="716"/>
      <c r="H37" s="716"/>
      <c r="I37" s="716"/>
      <c r="J37" s="716"/>
      <c r="K37" s="716"/>
    </row>
    <row r="38" spans="2:11" s="10" customFormat="1" ht="15.75" customHeight="1">
      <c r="B38" s="130" t="s">
        <v>328</v>
      </c>
      <c r="C38" s="697" t="s">
        <v>187</v>
      </c>
      <c r="D38" s="697"/>
      <c r="E38" s="697"/>
      <c r="F38" s="697"/>
      <c r="G38" s="697"/>
      <c r="H38" s="697"/>
      <c r="I38" s="697"/>
      <c r="J38" s="697"/>
      <c r="K38" s="697"/>
    </row>
    <row r="39" spans="2:11" s="51" customFormat="1" ht="15.75" customHeight="1">
      <c r="B39" s="130" t="s">
        <v>328</v>
      </c>
      <c r="C39" s="698" t="s">
        <v>188</v>
      </c>
      <c r="D39" s="698"/>
      <c r="E39" s="698"/>
      <c r="F39" s="698"/>
      <c r="G39" s="698"/>
      <c r="H39" s="698"/>
      <c r="I39" s="698"/>
      <c r="J39" s="698"/>
      <c r="K39" s="698"/>
    </row>
    <row r="40" spans="2:11" s="51" customFormat="1" ht="14.25" customHeight="1">
      <c r="B40" s="130" t="s">
        <v>328</v>
      </c>
      <c r="C40" s="698" t="s">
        <v>38</v>
      </c>
      <c r="D40" s="698"/>
      <c r="E40" s="698"/>
      <c r="F40" s="698"/>
      <c r="G40" s="698"/>
      <c r="H40" s="698"/>
      <c r="I40" s="698"/>
      <c r="J40" s="698"/>
      <c r="K40" s="698"/>
    </row>
    <row r="41" spans="2:11" s="10" customFormat="1" ht="10.5" customHeight="1">
      <c r="B41" s="130"/>
      <c r="C41" s="697"/>
      <c r="D41" s="697"/>
      <c r="E41" s="697"/>
      <c r="F41" s="697"/>
      <c r="G41" s="697"/>
      <c r="H41" s="697"/>
      <c r="I41" s="697"/>
      <c r="J41" s="697"/>
      <c r="K41" s="697"/>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19" t="s">
        <v>521</v>
      </c>
      <c r="D47" s="719"/>
      <c r="E47" s="719"/>
      <c r="F47" s="719"/>
      <c r="G47" s="719"/>
      <c r="H47" s="719"/>
      <c r="I47" s="719"/>
      <c r="J47" s="719"/>
      <c r="K47" s="719"/>
    </row>
    <row r="48" spans="2:11" s="38" customFormat="1" ht="9.75" customHeight="1">
      <c r="B48" s="138"/>
      <c r="C48" s="139"/>
      <c r="D48" s="140"/>
      <c r="E48" s="140"/>
      <c r="F48" s="140"/>
      <c r="G48" s="140"/>
      <c r="H48" s="140"/>
      <c r="I48" s="140"/>
      <c r="J48" s="140"/>
      <c r="K48" s="140"/>
    </row>
    <row r="49" spans="2:11" s="17" customFormat="1" ht="15.75" customHeight="1">
      <c r="B49" s="717" t="s">
        <v>503</v>
      </c>
      <c r="C49" s="718"/>
      <c r="D49" s="718"/>
      <c r="E49" s="718"/>
      <c r="F49" s="718"/>
      <c r="G49" s="718"/>
      <c r="H49" s="718"/>
      <c r="I49" s="718"/>
      <c r="J49" s="718"/>
      <c r="K49" s="718"/>
    </row>
    <row r="50" spans="2:11" ht="7.5" customHeight="1">
      <c r="B50" s="11"/>
      <c r="C50" s="11"/>
      <c r="D50" s="144"/>
      <c r="E50" s="144"/>
      <c r="F50" s="11"/>
      <c r="G50" s="144"/>
      <c r="H50" s="144"/>
      <c r="I50" s="144"/>
      <c r="J50" s="144"/>
      <c r="K50" s="128"/>
    </row>
    <row r="51" spans="2:12" ht="24" customHeight="1">
      <c r="B51" s="701" t="s">
        <v>184</v>
      </c>
      <c r="C51" s="702"/>
      <c r="D51" s="702"/>
      <c r="E51" s="702"/>
      <c r="F51" s="702"/>
      <c r="G51" s="702"/>
      <c r="H51" s="702"/>
      <c r="I51" s="702"/>
      <c r="J51" s="702"/>
      <c r="K51" s="703"/>
      <c r="L51" s="22"/>
    </row>
    <row r="52" spans="2:11" ht="77.25" customHeight="1">
      <c r="B52" s="704" t="s">
        <v>259</v>
      </c>
      <c r="C52" s="705"/>
      <c r="D52" s="705"/>
      <c r="E52" s="705"/>
      <c r="F52" s="705"/>
      <c r="G52" s="705"/>
      <c r="H52" s="705"/>
      <c r="I52" s="705"/>
      <c r="J52" s="705"/>
      <c r="K52" s="706"/>
    </row>
    <row r="53" spans="2:11" ht="24" customHeight="1">
      <c r="B53" s="701" t="s">
        <v>89</v>
      </c>
      <c r="C53" s="702"/>
      <c r="D53" s="702"/>
      <c r="E53" s="702"/>
      <c r="F53" s="702"/>
      <c r="G53" s="702"/>
      <c r="H53" s="702"/>
      <c r="I53" s="702"/>
      <c r="J53" s="702"/>
      <c r="K53" s="703"/>
    </row>
    <row r="54" spans="2:11" ht="79.5" customHeight="1">
      <c r="B54" s="704" t="s">
        <v>222</v>
      </c>
      <c r="C54" s="705"/>
      <c r="D54" s="705"/>
      <c r="E54" s="705"/>
      <c r="F54" s="705"/>
      <c r="G54" s="705"/>
      <c r="H54" s="705"/>
      <c r="I54" s="705"/>
      <c r="J54" s="705"/>
      <c r="K54" s="706"/>
    </row>
    <row r="55" spans="2:11" ht="24" customHeight="1">
      <c r="B55" s="701" t="s">
        <v>205</v>
      </c>
      <c r="C55" s="702"/>
      <c r="D55" s="702"/>
      <c r="E55" s="702"/>
      <c r="F55" s="702"/>
      <c r="G55" s="702"/>
      <c r="H55" s="702"/>
      <c r="I55" s="702"/>
      <c r="J55" s="702"/>
      <c r="K55" s="703"/>
    </row>
    <row r="56" spans="2:11" ht="52.5" customHeight="1">
      <c r="B56" s="704" t="s">
        <v>107</v>
      </c>
      <c r="C56" s="705"/>
      <c r="D56" s="705"/>
      <c r="E56" s="705"/>
      <c r="F56" s="705"/>
      <c r="G56" s="705"/>
      <c r="H56" s="705"/>
      <c r="I56" s="705"/>
      <c r="J56" s="705"/>
      <c r="K56" s="706"/>
    </row>
    <row r="57" spans="2:11" ht="24" customHeight="1">
      <c r="B57" s="701" t="s">
        <v>128</v>
      </c>
      <c r="C57" s="702"/>
      <c r="D57" s="702"/>
      <c r="E57" s="702"/>
      <c r="F57" s="702"/>
      <c r="G57" s="702"/>
      <c r="H57" s="702"/>
      <c r="I57" s="702"/>
      <c r="J57" s="702"/>
      <c r="K57" s="703"/>
    </row>
    <row r="58" spans="2:11" ht="51.75" customHeight="1">
      <c r="B58" s="704" t="s">
        <v>214</v>
      </c>
      <c r="C58" s="705"/>
      <c r="D58" s="705"/>
      <c r="E58" s="705"/>
      <c r="F58" s="705"/>
      <c r="G58" s="705"/>
      <c r="H58" s="705"/>
      <c r="I58" s="705"/>
      <c r="J58" s="705"/>
      <c r="K58" s="706"/>
    </row>
    <row r="59" spans="2:11" ht="24" customHeight="1">
      <c r="B59" s="701" t="s">
        <v>129</v>
      </c>
      <c r="C59" s="702"/>
      <c r="D59" s="702"/>
      <c r="E59" s="702"/>
      <c r="F59" s="702"/>
      <c r="G59" s="702"/>
      <c r="H59" s="702"/>
      <c r="I59" s="702"/>
      <c r="J59" s="702"/>
      <c r="K59" s="703"/>
    </row>
    <row r="60" spans="2:11" ht="27" customHeight="1">
      <c r="B60" s="704" t="s">
        <v>11</v>
      </c>
      <c r="C60" s="705"/>
      <c r="D60" s="705"/>
      <c r="E60" s="705"/>
      <c r="F60" s="705"/>
      <c r="G60" s="705"/>
      <c r="H60" s="705"/>
      <c r="I60" s="705"/>
      <c r="J60" s="705"/>
      <c r="K60" s="706"/>
    </row>
    <row r="61" spans="2:11" s="17" customFormat="1" ht="24" customHeight="1">
      <c r="B61" s="701" t="s">
        <v>206</v>
      </c>
      <c r="C61" s="702"/>
      <c r="D61" s="702"/>
      <c r="E61" s="702"/>
      <c r="F61" s="702"/>
      <c r="G61" s="702"/>
      <c r="H61" s="702"/>
      <c r="I61" s="702"/>
      <c r="J61" s="702"/>
      <c r="K61" s="703"/>
    </row>
    <row r="62" spans="2:11" ht="52.5" customHeight="1">
      <c r="B62" s="704" t="s">
        <v>108</v>
      </c>
      <c r="C62" s="705"/>
      <c r="D62" s="705"/>
      <c r="E62" s="705"/>
      <c r="F62" s="705"/>
      <c r="G62" s="705"/>
      <c r="H62" s="705"/>
      <c r="I62" s="705"/>
      <c r="J62" s="705"/>
      <c r="K62" s="706"/>
    </row>
    <row r="63" spans="2:11" ht="24" customHeight="1">
      <c r="B63" s="131"/>
      <c r="C63" s="131"/>
      <c r="D63" s="131"/>
      <c r="E63" s="131"/>
      <c r="F63" s="131"/>
      <c r="G63" s="131"/>
      <c r="H63" s="131"/>
      <c r="I63" s="131"/>
      <c r="J63" s="131"/>
      <c r="K63" s="131"/>
    </row>
    <row r="64" spans="2:11" ht="15.75" customHeight="1">
      <c r="B64" s="715" t="s">
        <v>283</v>
      </c>
      <c r="C64" s="715"/>
      <c r="D64" s="715"/>
      <c r="E64" s="715"/>
      <c r="F64" s="715"/>
      <c r="G64" s="715"/>
      <c r="H64" s="715"/>
      <c r="I64" s="715"/>
      <c r="J64" s="715"/>
      <c r="K64" s="715"/>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4.25">
      <c r="B69" s="10"/>
      <c r="C69" s="141" t="s">
        <v>284</v>
      </c>
      <c r="D69" s="142" t="s">
        <v>281</v>
      </c>
      <c r="E69" s="142">
        <v>1000</v>
      </c>
      <c r="F69" s="10"/>
      <c r="G69" s="10"/>
      <c r="H69" s="10"/>
      <c r="I69" s="10"/>
      <c r="J69" s="10"/>
      <c r="K69" s="10"/>
    </row>
    <row r="70" spans="2:11" ht="14.2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3"/>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75">
      <c r="B1" s="28" t="s">
        <v>308</v>
      </c>
    </row>
    <row r="2" ht="7.5" customHeight="1"/>
    <row r="3" spans="2:4" ht="18">
      <c r="B3" s="724" t="s">
        <v>320</v>
      </c>
      <c r="C3" s="724"/>
      <c r="D3" s="724"/>
    </row>
    <row r="4" spans="2:4" ht="12.75" customHeight="1">
      <c r="B4" s="100"/>
      <c r="C4" s="145"/>
      <c r="D4" s="146"/>
    </row>
    <row r="5" spans="2:4" ht="15.75">
      <c r="B5" s="725" t="s">
        <v>136</v>
      </c>
      <c r="C5" s="725"/>
      <c r="D5" s="725"/>
    </row>
    <row r="6" spans="2:7" s="11" customFormat="1" ht="40.5" customHeight="1" thickBot="1">
      <c r="B6" s="727" t="s">
        <v>585</v>
      </c>
      <c r="C6" s="728"/>
      <c r="D6" s="728"/>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6" t="s">
        <v>318</v>
      </c>
      <c r="C17" s="726"/>
      <c r="D17" s="726"/>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5.5">
      <c r="B46" s="162" t="s">
        <v>245</v>
      </c>
      <c r="C46" s="151" t="s">
        <v>513</v>
      </c>
      <c r="D46" s="160" t="s">
        <v>103</v>
      </c>
      <c r="E46" s="101"/>
      <c r="F46" s="102"/>
      <c r="G46" s="102"/>
    </row>
    <row r="47" spans="2:7" s="11" customFormat="1" ht="25.5">
      <c r="B47" s="162" t="s">
        <v>247</v>
      </c>
      <c r="C47" s="151" t="s">
        <v>514</v>
      </c>
      <c r="D47" s="160" t="s">
        <v>115</v>
      </c>
      <c r="E47" s="101"/>
      <c r="F47" s="102"/>
      <c r="G47" s="102"/>
    </row>
    <row r="48" spans="2:7" s="11" customFormat="1" ht="25.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38.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1">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8.25">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26.2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7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39" t="s">
        <v>202</v>
      </c>
      <c r="E2" s="739"/>
      <c r="F2" s="739"/>
      <c r="G2" s="739"/>
      <c r="H2" s="739"/>
      <c r="I2" s="739"/>
      <c r="J2" s="739"/>
      <c r="K2" s="739"/>
      <c r="L2" s="739"/>
      <c r="M2" s="739"/>
      <c r="N2" s="739"/>
      <c r="O2" s="739"/>
      <c r="P2" s="739"/>
      <c r="Q2" s="739"/>
      <c r="R2" s="739"/>
      <c r="S2" s="739"/>
      <c r="T2" s="739"/>
      <c r="U2" s="739"/>
      <c r="V2" s="739"/>
      <c r="W2" s="739"/>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75">
      <c r="A3" s="45"/>
      <c r="B3" s="45"/>
      <c r="C3" s="45"/>
      <c r="D3" s="740" t="s">
        <v>267</v>
      </c>
      <c r="E3" s="740"/>
      <c r="F3" s="740"/>
      <c r="G3" s="740"/>
      <c r="H3" s="740"/>
      <c r="I3" s="740"/>
      <c r="J3" s="740"/>
      <c r="K3" s="740"/>
      <c r="L3" s="740"/>
      <c r="M3" s="740"/>
      <c r="N3" s="740"/>
      <c r="O3" s="740"/>
      <c r="P3" s="740"/>
      <c r="Q3" s="740"/>
      <c r="R3" s="740"/>
      <c r="S3" s="740"/>
      <c r="T3" s="740"/>
      <c r="U3" s="740"/>
      <c r="V3" s="740"/>
      <c r="W3" s="740"/>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41" t="str">
        <f>LEFT('W1'!D10,LEN('W1'!D10)-7)&amp;" (W1,3)"</f>
        <v>Internal flow (W1,3)</v>
      </c>
      <c r="G10" s="742"/>
      <c r="H10" s="84"/>
      <c r="J10" s="84"/>
      <c r="K10" s="84"/>
      <c r="L10" s="84"/>
      <c r="M10" s="84"/>
      <c r="N10" s="84"/>
      <c r="O10" s="84"/>
      <c r="P10" s="84"/>
      <c r="Q10" s="745" t="s">
        <v>77</v>
      </c>
      <c r="R10" s="735" t="s">
        <v>82</v>
      </c>
      <c r="S10" s="736"/>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47" t="str">
        <f>'W1'!D13&amp;" (W1,6)"</f>
        <v>Outflow of surface and groundwaters to neighbouring countries (W1,6)</v>
      </c>
      <c r="J11" s="748"/>
      <c r="K11" s="84"/>
      <c r="L11" s="87"/>
      <c r="M11" s="87"/>
      <c r="N11" s="87"/>
      <c r="O11" s="84"/>
      <c r="P11" s="84"/>
      <c r="Q11" s="746"/>
      <c r="R11" s="737"/>
      <c r="S11" s="738"/>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47" t="str">
        <f>'W1'!D16&amp;" (W1,9)"</f>
        <v>Outflow of surface and groundwaters to the sea (W1,9)</v>
      </c>
      <c r="J13" s="748"/>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49" t="str">
        <f>'W2'!D11</f>
        <v>of which abstracted by:</v>
      </c>
      <c r="E15" s="750"/>
      <c r="F15" s="750"/>
      <c r="G15" s="750"/>
      <c r="H15" s="750"/>
      <c r="I15" s="750"/>
      <c r="J15" s="750"/>
      <c r="K15" s="751"/>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52" t="str">
        <f>LEFT('W2'!D10,LEN('W2'!D10)-7)&amp;" (W2,3)"</f>
        <v>Freshwater abstracted (W2,3)</v>
      </c>
      <c r="E19" s="753"/>
      <c r="F19" s="753"/>
      <c r="G19" s="753"/>
      <c r="H19" s="753"/>
      <c r="I19" s="753"/>
      <c r="J19" s="753"/>
      <c r="K19" s="754"/>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43" t="str">
        <f>'W2'!D22&amp;" (W2,14)"</f>
        <v>Desalinated water (W2,14)</v>
      </c>
      <c r="K21" s="744"/>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33" t="str">
        <f>LEFT('W2'!D26,LEN('W2'!D26)-17)&amp;" (W2,18)"</f>
        <v>Total freshwater available for use (W2,18)</v>
      </c>
      <c r="P22" s="84"/>
      <c r="Q22" s="733"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43" t="str">
        <f>'W2'!D23&amp;" (W2,15)"</f>
        <v>Reused water (W2,15)</v>
      </c>
      <c r="K23" s="744"/>
      <c r="L23" s="84"/>
      <c r="M23" s="39"/>
      <c r="N23" s="84"/>
      <c r="O23" s="734"/>
      <c r="P23" s="84"/>
      <c r="Q23" s="734"/>
      <c r="R23" s="731" t="str">
        <f>'W2'!D29</f>
        <v>of which used by:</v>
      </c>
      <c r="S23" s="732"/>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43" t="str">
        <f>'W2'!D24&amp;" - "&amp;'W2'!D25&amp;" (= W2,16 - W2,17)"</f>
        <v>Imports of water - Exports of water (= W2,16 - W2,17)</v>
      </c>
      <c r="K25" s="744"/>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29"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30"/>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J21:K21"/>
    <mergeCell ref="Q10:Q11"/>
    <mergeCell ref="I11:J11"/>
    <mergeCell ref="I13:J13"/>
    <mergeCell ref="D15:K15"/>
    <mergeCell ref="D19:K19"/>
    <mergeCell ref="P26:P27"/>
    <mergeCell ref="R23:S23"/>
    <mergeCell ref="O22:O23"/>
    <mergeCell ref="Q22:Q23"/>
    <mergeCell ref="R10:S11"/>
    <mergeCell ref="D2:W2"/>
    <mergeCell ref="D3:W3"/>
    <mergeCell ref="F10:G10"/>
    <mergeCell ref="J23:K23"/>
    <mergeCell ref="J25:K25"/>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K183"/>
  <sheetViews>
    <sheetView showGridLines="0" tabSelected="1" zoomScale="85" zoomScaleNormal="85" zoomScaleSheetLayoutView="55" zoomScalePageLayoutView="70" workbookViewId="0" topLeftCell="C1">
      <selection activeCell="F8" sqref="F8"/>
    </sheetView>
  </sheetViews>
  <sheetFormatPr defaultColWidth="9.33203125" defaultRowHeight="12.75"/>
  <cols>
    <col min="1" max="1" width="3.83203125" style="180" hidden="1" customWidth="1"/>
    <col min="2" max="2" width="6.8320312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2:58" ht="16.5" customHeight="1">
      <c r="B3" s="181">
        <v>388</v>
      </c>
      <c r="C3" s="203" t="s">
        <v>311</v>
      </c>
      <c r="D3" s="572" t="s">
        <v>410</v>
      </c>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644</v>
      </c>
      <c r="AF3" s="205"/>
      <c r="AG3" s="204"/>
      <c r="AH3" s="205"/>
      <c r="AI3" s="206"/>
      <c r="AJ3" s="320"/>
      <c r="AK3" s="425"/>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769"/>
      <c r="BA4" s="769"/>
      <c r="BB4" s="769"/>
      <c r="BC4" s="769"/>
      <c r="BD4" s="769"/>
      <c r="BF4" s="211"/>
    </row>
    <row r="5" spans="1:112" s="217" customFormat="1" ht="17.25" customHeight="1">
      <c r="A5" s="212"/>
      <c r="B5" s="181">
        <v>1</v>
      </c>
      <c r="C5" s="781" t="s">
        <v>452</v>
      </c>
      <c r="D5" s="781"/>
      <c r="E5" s="782"/>
      <c r="F5" s="782"/>
      <c r="G5" s="782"/>
      <c r="H5" s="783"/>
      <c r="I5" s="783"/>
      <c r="J5" s="783"/>
      <c r="K5" s="783"/>
      <c r="L5" s="783"/>
      <c r="M5" s="783"/>
      <c r="N5" s="783"/>
      <c r="O5" s="783"/>
      <c r="P5" s="783"/>
      <c r="Q5" s="783"/>
      <c r="R5" s="783"/>
      <c r="S5" s="783"/>
      <c r="T5" s="783"/>
      <c r="U5" s="783"/>
      <c r="V5" s="783"/>
      <c r="W5" s="782"/>
      <c r="X5" s="783"/>
      <c r="Y5" s="782"/>
      <c r="Z5" s="783"/>
      <c r="AA5" s="782"/>
      <c r="AB5" s="783"/>
      <c r="AC5" s="782"/>
      <c r="AD5" s="783"/>
      <c r="AE5" s="782"/>
      <c r="AF5" s="783"/>
      <c r="AG5" s="782"/>
      <c r="AH5" s="783"/>
      <c r="AI5" s="783"/>
      <c r="AJ5" s="783"/>
      <c r="AK5" s="782"/>
      <c r="AL5" s="783"/>
      <c r="AM5" s="782"/>
      <c r="AN5" s="783"/>
      <c r="AO5" s="782"/>
      <c r="AP5" s="782"/>
      <c r="AQ5" s="782"/>
      <c r="AR5" s="782"/>
      <c r="AS5" s="782"/>
      <c r="AT5" s="783"/>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80"/>
      <c r="DF5" s="780"/>
      <c r="DG5" s="780"/>
      <c r="DH5" s="780"/>
    </row>
    <row r="6" spans="5:114" ht="15.75" customHeight="1">
      <c r="E6" s="219"/>
      <c r="F6" s="220"/>
      <c r="H6" s="680" t="s">
        <v>508</v>
      </c>
      <c r="Z6" s="224"/>
      <c r="AB6" s="766"/>
      <c r="AC6" s="767"/>
      <c r="AD6" s="767"/>
      <c r="AE6" s="767"/>
      <c r="AF6" s="767"/>
      <c r="AG6" s="767"/>
      <c r="AH6" s="767"/>
      <c r="AI6" s="767"/>
      <c r="AJ6" s="767"/>
      <c r="AK6" s="768"/>
      <c r="AL6" s="768"/>
      <c r="AM6" s="768"/>
      <c r="AN6" s="768"/>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573"/>
      <c r="G8" s="583"/>
      <c r="H8" s="573">
        <v>21212</v>
      </c>
      <c r="I8" s="583"/>
      <c r="J8" s="573"/>
      <c r="K8" s="583"/>
      <c r="L8" s="573"/>
      <c r="M8" s="583"/>
      <c r="N8" s="573"/>
      <c r="O8" s="583"/>
      <c r="P8" s="573"/>
      <c r="Q8" s="583"/>
      <c r="R8" s="573">
        <v>19574</v>
      </c>
      <c r="S8" s="583"/>
      <c r="T8" s="573">
        <v>16903</v>
      </c>
      <c r="U8" s="583"/>
      <c r="V8" s="573">
        <v>20222</v>
      </c>
      <c r="W8" s="583"/>
      <c r="X8" s="573">
        <v>23860</v>
      </c>
      <c r="Y8" s="583"/>
      <c r="Z8" s="573">
        <v>20387</v>
      </c>
      <c r="AA8" s="583"/>
      <c r="AB8" s="573">
        <v>19794</v>
      </c>
      <c r="AC8" s="583"/>
      <c r="AD8" s="573">
        <v>21080</v>
      </c>
      <c r="AE8" s="583"/>
      <c r="AF8" s="573">
        <v>18299</v>
      </c>
      <c r="AG8" s="583"/>
      <c r="AH8" s="573">
        <v>23509</v>
      </c>
      <c r="AI8" s="583"/>
      <c r="AJ8" s="573">
        <v>21563</v>
      </c>
      <c r="AK8" s="583"/>
      <c r="AL8" s="573">
        <v>17830</v>
      </c>
      <c r="AM8" s="583"/>
      <c r="AN8" s="573">
        <v>25247</v>
      </c>
      <c r="AO8" s="583"/>
      <c r="AP8" s="573">
        <v>20205</v>
      </c>
      <c r="AQ8" s="583"/>
      <c r="AR8" s="573">
        <v>18488</v>
      </c>
      <c r="AS8" s="583"/>
      <c r="AT8" s="573">
        <v>16189</v>
      </c>
      <c r="AU8" s="583"/>
      <c r="AV8" s="573">
        <v>16695</v>
      </c>
      <c r="AW8" s="583"/>
      <c r="AX8" s="573">
        <v>14431</v>
      </c>
      <c r="AY8" s="583"/>
      <c r="AZ8" s="573">
        <v>19333</v>
      </c>
      <c r="BA8" s="583"/>
      <c r="BB8" s="573">
        <v>23708</v>
      </c>
      <c r="BC8" s="583"/>
      <c r="BE8" s="242"/>
      <c r="BF8" s="97">
        <v>1</v>
      </c>
      <c r="BG8" s="243" t="s">
        <v>80</v>
      </c>
      <c r="BH8" s="244" t="s">
        <v>81</v>
      </c>
      <c r="BI8" s="245" t="str">
        <f>IF(OR(ISERR(AVERAGE(H8:BB8)),ISBLANK(F8)),"N/A",IF(OR(F8&lt;AVERAGE(H8:BB8)*0.75,F8&gt;AVERAGE(H8:BB8)*1.25),"&lt;&gt;Average","ok"))</f>
        <v>N/A</v>
      </c>
      <c r="BJ8" s="606" t="s">
        <v>85</v>
      </c>
      <c r="BK8" s="97" t="str">
        <f aca="true" t="shared" si="0" ref="BK8:BK16">IF(OR(ISBLANK(H8),ISBLANK(J8)),"N/A",IF(ABS((J8-H8)/H8)&gt;1,"&gt; 100%","ok"))</f>
        <v>N/A</v>
      </c>
      <c r="BL8" s="606"/>
      <c r="BM8" s="80" t="str">
        <f aca="true" t="shared" si="1" ref="BM8:BM16">IF(OR(ISBLANK(L8),ISBLANK(J8)),"N/A",IF(ABS((L8-J8)/J8)&gt;0.25,"&gt; 25%","ok"))</f>
        <v>N/A</v>
      </c>
      <c r="BN8" s="606"/>
      <c r="BO8" s="80" t="str">
        <f aca="true" t="shared" si="2" ref="BO8:BO16">IF(OR(ISBLANK(N8),ISBLANK(L8)),"N/A",IF(ABS((N8-L8)/L8)&gt;0.25,"&gt; 25%","ok"))</f>
        <v>N/A</v>
      </c>
      <c r="BP8" s="606"/>
      <c r="BQ8" s="80" t="str">
        <f aca="true" t="shared" si="3" ref="BQ8:BQ16">IF(OR(ISBLANK(P8),ISBLANK(N8)),"N/A",IF(ABS((P8-N8)/N8)&gt;0.25,"&gt; 25%","ok"))</f>
        <v>N/A</v>
      </c>
      <c r="BR8" s="606"/>
      <c r="BS8" s="80" t="str">
        <f aca="true" t="shared" si="4" ref="BS8:BS16">IF(OR(ISBLANK(R8),ISBLANK(P8)),"N/A",IF(ABS((R8-P8)/P8)&gt;0.25,"&gt; 25%","ok"))</f>
        <v>N/A</v>
      </c>
      <c r="BT8" s="606"/>
      <c r="BU8" s="80" t="str">
        <f aca="true" t="shared" si="5" ref="BU8:BU16">IF(OR(ISBLANK(T8),ISBLANK(R8)),"N/A",IF(ABS((T8-R8)/R8)&gt;0.25,"&gt; 25%","ok"))</f>
        <v>ok</v>
      </c>
      <c r="BV8" s="606"/>
      <c r="BW8" s="80" t="str">
        <f aca="true" t="shared" si="6" ref="BW8:BW16">IF(OR(ISBLANK(V8),ISBLANK(T8)),"N/A",IF(ABS((V8-T8)/T8)&gt;0.25,"&gt; 25%","ok"))</f>
        <v>ok</v>
      </c>
      <c r="BX8" s="606"/>
      <c r="BY8" s="80" t="str">
        <f aca="true" t="shared" si="7" ref="BY8:BY16">IF(OR(ISBLANK(X8),ISBLANK(V8)),"N/A",IF(ABS((X8-V8)/V8)&gt;0.25,"&gt; 25%","ok"))</f>
        <v>ok</v>
      </c>
      <c r="BZ8" s="606"/>
      <c r="CA8" s="80" t="str">
        <f aca="true" t="shared" si="8" ref="CA8:CA16">IF(OR(ISBLANK(Z8),ISBLANK(X8)),"N/A",IF(ABS((Z8-X8)/X8)&gt;0.25,"&gt; 25%","ok"))</f>
        <v>ok</v>
      </c>
      <c r="CB8" s="606"/>
      <c r="CC8" s="80" t="str">
        <f aca="true" t="shared" si="9" ref="CC8:CC16">IF(OR(ISBLANK(AB8),ISBLANK(Z8)),"N/A",IF(ABS((AB8-Z8)/Z8)&gt;0.25,"&gt; 25%","ok"))</f>
        <v>ok</v>
      </c>
      <c r="CD8" s="606"/>
      <c r="CE8" s="80" t="str">
        <f aca="true" t="shared" si="10" ref="CE8:CE16">IF(OR(ISBLANK(AD8),ISBLANK(AB8)),"N/A",IF(ABS((AD8-AB8)/AB8)&gt;0.25,"&gt; 25%","ok"))</f>
        <v>ok</v>
      </c>
      <c r="CF8" s="606"/>
      <c r="CG8" s="80" t="str">
        <f aca="true" t="shared" si="11" ref="CG8:CG16">IF(OR(ISBLANK(AF8),ISBLANK(AD8)),"N/A",IF(ABS((AF8-AD8)/AD8)&gt;0.25,"&gt; 25%","ok"))</f>
        <v>ok</v>
      </c>
      <c r="CH8" s="606"/>
      <c r="CI8" s="80" t="str">
        <f aca="true" t="shared" si="12" ref="CI8:CI16">IF(OR(ISBLANK(AH8),ISBLANK(AF8)),"N/A",IF(ABS((AH8-AF8)/AF8)&gt;0.25,"&gt; 25%","ok"))</f>
        <v>&gt; 25%</v>
      </c>
      <c r="CJ8" s="606"/>
      <c r="CK8" s="80" t="str">
        <f aca="true" t="shared" si="13" ref="CK8:CK16">IF(OR(ISBLANK(AJ8),ISBLANK(AH8)),"N/A",IF(ABS((AJ8-AH8)/AH8)&gt;0.25,"&gt; 25%","ok"))</f>
        <v>ok</v>
      </c>
      <c r="CL8" s="606"/>
      <c r="CM8" s="80" t="str">
        <f aca="true" t="shared" si="14" ref="CM8:CM16">IF(OR(ISBLANK(AL8),ISBLANK(AJ8)),"N/A",IF(ABS((AL8-AJ8)/AJ8)&gt;0.25,"&gt; 25%","ok"))</f>
        <v>ok</v>
      </c>
      <c r="CN8" s="606"/>
      <c r="CO8" s="80" t="str">
        <f aca="true" t="shared" si="15" ref="CO8:CO16">IF(OR(ISBLANK(AN8),ISBLANK(AL8)),"N/A",IF(ABS((AN8-AL8)/AL8)&gt;0.25,"&gt; 25%","ok"))</f>
        <v>&gt; 25%</v>
      </c>
      <c r="CP8" s="606"/>
      <c r="CQ8" s="80" t="str">
        <f aca="true" t="shared" si="16" ref="CQ8:CQ16">IF(OR(ISBLANK(AP8),ISBLANK(AN8)),"N/A",IF(ABS((AP8-AN8)/AN8)&gt;0.25,"&gt; 25%","ok"))</f>
        <v>ok</v>
      </c>
      <c r="CR8" s="606"/>
      <c r="CS8" s="80" t="str">
        <f aca="true" t="shared" si="17" ref="CS8:CS16">IF(OR(ISBLANK(AR8),ISBLANK(AP8)),"N/A",IF(ABS((AR8-AP8)/AP8)&gt;0.25,"&gt; 25%","ok"))</f>
        <v>ok</v>
      </c>
      <c r="CT8" s="606"/>
      <c r="CU8" s="80" t="str">
        <f aca="true" t="shared" si="18" ref="CU8:CU16">IF(OR(ISBLANK(AT8),ISBLANK(AR8)),"N/A",IF(ABS((AT8-AR8)/AR8)&gt;0.25,"&gt; 25%","ok"))</f>
        <v>ok</v>
      </c>
      <c r="CV8" s="606"/>
      <c r="CW8" s="80" t="str">
        <f aca="true" t="shared" si="19" ref="CW8:CW16">IF(OR(ISBLANK(AV8),ISBLANK(AT8)),"N/A",IF(ABS((AV8-AT8)/AT8)&gt;0.25,"&gt; 25%","ok"))</f>
        <v>ok</v>
      </c>
      <c r="CX8" s="606"/>
      <c r="CY8" s="80" t="str">
        <f aca="true" t="shared" si="20" ref="CY8:CY16">IF(OR(ISBLANK(AX8),ISBLANK(AV8)),"N/A",IF(ABS((AX8-AV8)/AV8)&gt;0.25,"&gt; 25%","ok"))</f>
        <v>ok</v>
      </c>
      <c r="CZ8" s="606"/>
      <c r="DA8" s="80" t="str">
        <f aca="true" t="shared" si="21" ref="DA8:DA16">IF(OR(ISBLANK(AZ8),ISBLANK(AX8)),"N/A",IF(ABS((AZ8-AX8)/AX8)&gt;0.25,"&gt; 25%","ok"))</f>
        <v>&gt; 25%</v>
      </c>
      <c r="DB8" s="606"/>
      <c r="DC8" s="80" t="str">
        <f>IF(OR(ISBLANK(BB8),ISBLANK(AZ8)),"N/A",IF(ABS((BB8-AZ8)/AZ8)&gt;0.25,"&gt; 25%","ok"))</f>
        <v>ok</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01"/>
      <c r="G9" s="584"/>
      <c r="H9" s="601">
        <v>11945</v>
      </c>
      <c r="I9" s="584"/>
      <c r="J9" s="601"/>
      <c r="K9" s="584"/>
      <c r="L9" s="601"/>
      <c r="M9" s="584"/>
      <c r="N9" s="601"/>
      <c r="O9" s="584"/>
      <c r="P9" s="601"/>
      <c r="Q9" s="584"/>
      <c r="R9" s="601"/>
      <c r="S9" s="584"/>
      <c r="T9" s="601"/>
      <c r="U9" s="584"/>
      <c r="V9" s="601"/>
      <c r="W9" s="584"/>
      <c r="X9" s="601"/>
      <c r="Y9" s="584"/>
      <c r="Z9" s="601"/>
      <c r="AA9" s="584"/>
      <c r="AB9" s="601"/>
      <c r="AC9" s="584"/>
      <c r="AD9" s="601">
        <v>10051</v>
      </c>
      <c r="AE9" s="584"/>
      <c r="AF9" s="601"/>
      <c r="AG9" s="584"/>
      <c r="AH9" s="601"/>
      <c r="AI9" s="584"/>
      <c r="AJ9" s="601"/>
      <c r="AK9" s="584"/>
      <c r="AL9" s="601"/>
      <c r="AM9" s="584"/>
      <c r="AN9" s="601"/>
      <c r="AO9" s="584"/>
      <c r="AP9" s="601"/>
      <c r="AQ9" s="584"/>
      <c r="AR9" s="601"/>
      <c r="AS9" s="584"/>
      <c r="AT9" s="601"/>
      <c r="AU9" s="584"/>
      <c r="AV9" s="601"/>
      <c r="AW9" s="584"/>
      <c r="AX9" s="601"/>
      <c r="AY9" s="584"/>
      <c r="AZ9" s="601"/>
      <c r="BA9" s="584"/>
      <c r="BB9" s="601"/>
      <c r="BC9" s="584"/>
      <c r="BE9" s="242"/>
      <c r="BF9" s="82">
        <v>2</v>
      </c>
      <c r="BG9" s="248" t="s">
        <v>500</v>
      </c>
      <c r="BH9" s="83" t="s">
        <v>81</v>
      </c>
      <c r="BI9" s="82" t="str">
        <f aca="true" t="shared" si="22" ref="BI9:BI16">IF(OR(ISERR(AVERAGE(H9:AV9)),ISBLANK(F9)),"N/A",IF(OR(F9&lt;AVERAGE(H9:AV9)*0.75,F9&gt;AVERAGE(H9:AV9)*1.25),"&lt;&gt;Average","ok"))</f>
        <v>N/A</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N/A</v>
      </c>
      <c r="BZ9" s="607"/>
      <c r="CA9" s="80" t="str">
        <f t="shared" si="8"/>
        <v>N/A</v>
      </c>
      <c r="CB9" s="607"/>
      <c r="CC9" s="80" t="str">
        <f t="shared" si="9"/>
        <v>N/A</v>
      </c>
      <c r="CD9" s="607"/>
      <c r="CE9" s="80" t="str">
        <f t="shared" si="10"/>
        <v>N/A</v>
      </c>
      <c r="CF9" s="607"/>
      <c r="CG9" s="80" t="str">
        <f t="shared" si="11"/>
        <v>N/A</v>
      </c>
      <c r="CH9" s="607"/>
      <c r="CI9" s="80" t="str">
        <f t="shared" si="12"/>
        <v>N/A</v>
      </c>
      <c r="CJ9" s="607"/>
      <c r="CK9" s="80" t="str">
        <f t="shared" si="13"/>
        <v>N/A</v>
      </c>
      <c r="CL9" s="607"/>
      <c r="CM9" s="80" t="str">
        <f t="shared" si="14"/>
        <v>N/A</v>
      </c>
      <c r="CN9" s="607"/>
      <c r="CO9" s="80" t="str">
        <f t="shared" si="15"/>
        <v>N/A</v>
      </c>
      <c r="CP9" s="607"/>
      <c r="CQ9" s="80" t="str">
        <f t="shared" si="16"/>
        <v>N/A</v>
      </c>
      <c r="CR9" s="607"/>
      <c r="CS9" s="80" t="str">
        <f t="shared" si="17"/>
        <v>N/A</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01"/>
      <c r="G10" s="584"/>
      <c r="H10" s="601">
        <v>9267</v>
      </c>
      <c r="I10" s="584"/>
      <c r="J10" s="601"/>
      <c r="K10" s="584"/>
      <c r="L10" s="601"/>
      <c r="M10" s="584"/>
      <c r="N10" s="601"/>
      <c r="O10" s="584"/>
      <c r="P10" s="601"/>
      <c r="Q10" s="584"/>
      <c r="R10" s="601"/>
      <c r="S10" s="584"/>
      <c r="T10" s="601"/>
      <c r="U10" s="584"/>
      <c r="V10" s="601"/>
      <c r="W10" s="584"/>
      <c r="X10" s="601"/>
      <c r="Y10" s="584"/>
      <c r="Z10" s="601"/>
      <c r="AA10" s="584"/>
      <c r="AB10" s="601"/>
      <c r="AC10" s="584"/>
      <c r="AD10" s="601">
        <v>11029</v>
      </c>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01"/>
      <c r="BC10" s="584"/>
      <c r="BE10" s="251"/>
      <c r="BF10" s="97">
        <v>3</v>
      </c>
      <c r="BG10" s="248" t="s">
        <v>20</v>
      </c>
      <c r="BH10" s="82" t="s">
        <v>81</v>
      </c>
      <c r="BI10" s="82" t="str">
        <f t="shared" si="22"/>
        <v>N/A</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N/A</v>
      </c>
      <c r="BZ10" s="607"/>
      <c r="CA10" s="80" t="str">
        <f t="shared" si="8"/>
        <v>N/A</v>
      </c>
      <c r="CB10" s="607"/>
      <c r="CC10" s="80" t="str">
        <f t="shared" si="9"/>
        <v>N/A</v>
      </c>
      <c r="CD10" s="607"/>
      <c r="CE10" s="80" t="str">
        <f t="shared" si="10"/>
        <v>N/A</v>
      </c>
      <c r="CF10" s="607"/>
      <c r="CG10" s="80" t="str">
        <f t="shared" si="11"/>
        <v>N/A</v>
      </c>
      <c r="CH10" s="607"/>
      <c r="CI10" s="80" t="str">
        <f t="shared" si="12"/>
        <v>N/A</v>
      </c>
      <c r="CJ10" s="607"/>
      <c r="CK10" s="80" t="str">
        <f t="shared" si="13"/>
        <v>N/A</v>
      </c>
      <c r="CL10" s="607"/>
      <c r="CM10" s="80" t="str">
        <f t="shared" si="14"/>
        <v>N/A</v>
      </c>
      <c r="CN10" s="607"/>
      <c r="CO10" s="80" t="str">
        <f t="shared" si="15"/>
        <v>N/A</v>
      </c>
      <c r="CP10" s="607"/>
      <c r="CQ10" s="80" t="str">
        <f t="shared" si="16"/>
        <v>N/A</v>
      </c>
      <c r="CR10" s="607"/>
      <c r="CS10" s="80" t="str">
        <f t="shared" si="17"/>
        <v>N/A</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01"/>
      <c r="G11" s="584"/>
      <c r="H11" s="601">
        <v>0</v>
      </c>
      <c r="I11" s="584"/>
      <c r="J11" s="601"/>
      <c r="K11" s="584"/>
      <c r="L11" s="601"/>
      <c r="M11" s="584"/>
      <c r="N11" s="601"/>
      <c r="O11" s="584"/>
      <c r="P11" s="601"/>
      <c r="Q11" s="584"/>
      <c r="R11" s="601"/>
      <c r="S11" s="584"/>
      <c r="T11" s="601"/>
      <c r="U11" s="584"/>
      <c r="V11" s="601">
        <v>0</v>
      </c>
      <c r="W11" s="584"/>
      <c r="X11" s="601">
        <v>0</v>
      </c>
      <c r="Y11" s="584"/>
      <c r="Z11" s="601">
        <v>0</v>
      </c>
      <c r="AA11" s="584"/>
      <c r="AB11" s="601">
        <v>0</v>
      </c>
      <c r="AC11" s="584"/>
      <c r="AD11" s="601">
        <v>0</v>
      </c>
      <c r="AE11" s="584"/>
      <c r="AF11" s="601">
        <v>0</v>
      </c>
      <c r="AG11" s="584"/>
      <c r="AH11" s="601">
        <v>0</v>
      </c>
      <c r="AI11" s="584"/>
      <c r="AJ11" s="601">
        <v>0</v>
      </c>
      <c r="AK11" s="584"/>
      <c r="AL11" s="601">
        <v>0</v>
      </c>
      <c r="AM11" s="584"/>
      <c r="AN11" s="601">
        <v>0</v>
      </c>
      <c r="AO11" s="584"/>
      <c r="AP11" s="601">
        <v>0</v>
      </c>
      <c r="AQ11" s="584"/>
      <c r="AR11" s="601">
        <v>0</v>
      </c>
      <c r="AS11" s="584"/>
      <c r="AT11" s="601">
        <v>0</v>
      </c>
      <c r="AU11" s="584"/>
      <c r="AV11" s="684">
        <v>0</v>
      </c>
      <c r="AW11" s="685"/>
      <c r="AX11" s="684">
        <v>0</v>
      </c>
      <c r="AY11" s="584"/>
      <c r="AZ11" s="601">
        <v>0</v>
      </c>
      <c r="BA11" s="584"/>
      <c r="BB11" s="601">
        <v>0</v>
      </c>
      <c r="BC11" s="584"/>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e">
        <f t="shared" si="7"/>
        <v>#DIV/0!</v>
      </c>
      <c r="BZ11" s="607"/>
      <c r="CA11" s="80" t="e">
        <f t="shared" si="8"/>
        <v>#DIV/0!</v>
      </c>
      <c r="CB11" s="607"/>
      <c r="CC11" s="80" t="e">
        <f t="shared" si="9"/>
        <v>#DIV/0!</v>
      </c>
      <c r="CD11" s="607"/>
      <c r="CE11" s="80" t="e">
        <f t="shared" si="10"/>
        <v>#DIV/0!</v>
      </c>
      <c r="CF11" s="607"/>
      <c r="CG11" s="80" t="e">
        <f t="shared" si="11"/>
        <v>#DIV/0!</v>
      </c>
      <c r="CH11" s="607"/>
      <c r="CI11" s="80" t="e">
        <f t="shared" si="12"/>
        <v>#DIV/0!</v>
      </c>
      <c r="CJ11" s="607"/>
      <c r="CK11" s="80" t="e">
        <f t="shared" si="13"/>
        <v>#DIV/0!</v>
      </c>
      <c r="CL11" s="607"/>
      <c r="CM11" s="80" t="e">
        <f t="shared" si="14"/>
        <v>#DIV/0!</v>
      </c>
      <c r="CN11" s="607"/>
      <c r="CO11" s="80" t="e">
        <f t="shared" si="15"/>
        <v>#DIV/0!</v>
      </c>
      <c r="CP11" s="607"/>
      <c r="CQ11" s="80" t="e">
        <f t="shared" si="16"/>
        <v>#DIV/0!</v>
      </c>
      <c r="CR11" s="607"/>
      <c r="CS11" s="80" t="e">
        <f t="shared" si="17"/>
        <v>#DIV/0!</v>
      </c>
      <c r="CT11" s="607"/>
      <c r="CU11" s="80" t="e">
        <f t="shared" si="18"/>
        <v>#DIV/0!</v>
      </c>
      <c r="CV11" s="607"/>
      <c r="CW11" s="80" t="e">
        <f t="shared" si="19"/>
        <v>#DIV/0!</v>
      </c>
      <c r="CX11" s="607"/>
      <c r="CY11" s="80" t="e">
        <f t="shared" si="20"/>
        <v>#DIV/0!</v>
      </c>
      <c r="CZ11" s="607"/>
      <c r="DA11" s="80" t="e">
        <f t="shared" si="21"/>
        <v>#DIV/0!</v>
      </c>
      <c r="DB11" s="607"/>
      <c r="DC11" s="80" t="e">
        <f t="shared" si="23"/>
        <v>#DIV/0!</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02"/>
      <c r="G12" s="585"/>
      <c r="H12" s="602">
        <v>9267</v>
      </c>
      <c r="I12" s="585"/>
      <c r="J12" s="602"/>
      <c r="K12" s="585"/>
      <c r="L12" s="602"/>
      <c r="M12" s="585"/>
      <c r="N12" s="602"/>
      <c r="O12" s="585"/>
      <c r="P12" s="602"/>
      <c r="Q12" s="585"/>
      <c r="R12" s="602"/>
      <c r="S12" s="585"/>
      <c r="T12" s="602"/>
      <c r="U12" s="585"/>
      <c r="V12" s="602"/>
      <c r="W12" s="585"/>
      <c r="X12" s="602"/>
      <c r="Y12" s="585"/>
      <c r="Z12" s="602"/>
      <c r="AA12" s="585"/>
      <c r="AB12" s="602"/>
      <c r="AC12" s="585"/>
      <c r="AD12" s="602">
        <v>11029</v>
      </c>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B12" s="602"/>
      <c r="BC12" s="585"/>
      <c r="BE12" s="251"/>
      <c r="BF12" s="97">
        <v>5</v>
      </c>
      <c r="BG12" s="257" t="s">
        <v>19</v>
      </c>
      <c r="BH12" s="83" t="s">
        <v>81</v>
      </c>
      <c r="BI12" s="82" t="str">
        <f t="shared" si="22"/>
        <v>N/A</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N/A</v>
      </c>
      <c r="CR12" s="607"/>
      <c r="CS12" s="80" t="str">
        <f t="shared" si="17"/>
        <v>N/A</v>
      </c>
      <c r="CT12" s="607"/>
      <c r="CU12" s="80" t="str">
        <f t="shared" si="18"/>
        <v>N/A</v>
      </c>
      <c r="CV12" s="607"/>
      <c r="CW12" s="80" t="str">
        <f t="shared" si="19"/>
        <v>N/A</v>
      </c>
      <c r="CX12" s="607"/>
      <c r="CY12" s="80" t="str">
        <f t="shared" si="20"/>
        <v>N/A</v>
      </c>
      <c r="CZ12" s="607"/>
      <c r="DA12" s="80" t="str">
        <f t="shared" si="21"/>
        <v>N/A</v>
      </c>
      <c r="DB12" s="607"/>
      <c r="DC12" s="80" t="str">
        <f t="shared" si="23"/>
        <v>N/A</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v>0</v>
      </c>
      <c r="W13" s="584"/>
      <c r="X13" s="601">
        <v>0</v>
      </c>
      <c r="Y13" s="584"/>
      <c r="Z13" s="601">
        <v>0</v>
      </c>
      <c r="AA13" s="584"/>
      <c r="AB13" s="601">
        <v>0</v>
      </c>
      <c r="AC13" s="584"/>
      <c r="AD13" s="601">
        <v>0</v>
      </c>
      <c r="AE13" s="584"/>
      <c r="AF13" s="601">
        <v>0</v>
      </c>
      <c r="AG13" s="584"/>
      <c r="AH13" s="601">
        <v>0</v>
      </c>
      <c r="AI13" s="584"/>
      <c r="AJ13" s="601">
        <v>0</v>
      </c>
      <c r="AK13" s="584"/>
      <c r="AL13" s="601">
        <v>0</v>
      </c>
      <c r="AM13" s="584"/>
      <c r="AN13" s="601">
        <v>0</v>
      </c>
      <c r="AO13" s="584"/>
      <c r="AP13" s="601">
        <v>0</v>
      </c>
      <c r="AQ13" s="584"/>
      <c r="AR13" s="601">
        <v>0</v>
      </c>
      <c r="AS13" s="584"/>
      <c r="AT13" s="601">
        <v>0</v>
      </c>
      <c r="AU13" s="584"/>
      <c r="AV13" s="601">
        <v>0</v>
      </c>
      <c r="AW13" s="584"/>
      <c r="AX13" s="601">
        <v>0</v>
      </c>
      <c r="AY13" s="584"/>
      <c r="AZ13" s="601">
        <v>0</v>
      </c>
      <c r="BA13" s="584"/>
      <c r="BB13" s="601">
        <v>0</v>
      </c>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e">
        <f t="shared" si="7"/>
        <v>#DIV/0!</v>
      </c>
      <c r="BZ13" s="607"/>
      <c r="CA13" s="83" t="e">
        <f t="shared" si="8"/>
        <v>#DIV/0!</v>
      </c>
      <c r="CB13" s="607"/>
      <c r="CC13" s="83" t="e">
        <f t="shared" si="9"/>
        <v>#DIV/0!</v>
      </c>
      <c r="CD13" s="607"/>
      <c r="CE13" s="83" t="e">
        <f t="shared" si="10"/>
        <v>#DIV/0!</v>
      </c>
      <c r="CF13" s="607"/>
      <c r="CG13" s="80" t="e">
        <f t="shared" si="11"/>
        <v>#DIV/0!</v>
      </c>
      <c r="CH13" s="608"/>
      <c r="CI13" s="80" t="e">
        <f t="shared" si="12"/>
        <v>#DIV/0!</v>
      </c>
      <c r="CJ13" s="608"/>
      <c r="CK13" s="80" t="e">
        <f t="shared" si="13"/>
        <v>#DIV/0!</v>
      </c>
      <c r="CL13" s="608"/>
      <c r="CM13" s="80" t="e">
        <f t="shared" si="14"/>
        <v>#DIV/0!</v>
      </c>
      <c r="CN13" s="608"/>
      <c r="CO13" s="80" t="e">
        <f t="shared" si="15"/>
        <v>#DIV/0!</v>
      </c>
      <c r="CP13" s="608"/>
      <c r="CQ13" s="80" t="e">
        <f t="shared" si="16"/>
        <v>#DIV/0!</v>
      </c>
      <c r="CR13" s="608"/>
      <c r="CS13" s="80" t="e">
        <f t="shared" si="17"/>
        <v>#DIV/0!</v>
      </c>
      <c r="CT13" s="608"/>
      <c r="CU13" s="80" t="e">
        <f t="shared" si="18"/>
        <v>#DIV/0!</v>
      </c>
      <c r="CV13" s="608"/>
      <c r="CW13" s="80" t="e">
        <f t="shared" si="19"/>
        <v>#DIV/0!</v>
      </c>
      <c r="CX13" s="608"/>
      <c r="CY13" s="80" t="e">
        <f t="shared" si="20"/>
        <v>#DIV/0!</v>
      </c>
      <c r="CZ13" s="608"/>
      <c r="DA13" s="80" t="e">
        <f t="shared" si="21"/>
        <v>#DIV/0!</v>
      </c>
      <c r="DB13" s="608"/>
      <c r="DC13" s="80" t="e">
        <f t="shared" si="23"/>
        <v>#DIV/0!</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74" t="s">
        <v>272</v>
      </c>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74" t="s">
        <v>255</v>
      </c>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F21" s="97">
        <v>3</v>
      </c>
      <c r="BG21" s="248" t="s">
        <v>20</v>
      </c>
      <c r="BH21" s="82" t="s">
        <v>313</v>
      </c>
      <c r="BI21" s="82">
        <f>F10</f>
        <v>0</v>
      </c>
      <c r="BJ21" s="82">
        <f>H10</f>
        <v>9267</v>
      </c>
      <c r="BK21" s="82">
        <f>J10</f>
        <v>0</v>
      </c>
      <c r="BL21" s="82"/>
      <c r="BM21" s="82">
        <f>L10</f>
        <v>0</v>
      </c>
      <c r="BN21" s="82"/>
      <c r="BO21" s="82">
        <f>N10</f>
        <v>0</v>
      </c>
      <c r="BP21" s="82"/>
      <c r="BQ21" s="82">
        <f>P10</f>
        <v>0</v>
      </c>
      <c r="BR21" s="82"/>
      <c r="BS21" s="82">
        <f>R10</f>
        <v>0</v>
      </c>
      <c r="BT21" s="82"/>
      <c r="BU21" s="82">
        <f>T10</f>
        <v>0</v>
      </c>
      <c r="BV21" s="82"/>
      <c r="BW21" s="82">
        <f>V10</f>
        <v>0</v>
      </c>
      <c r="BX21" s="82"/>
      <c r="BY21" s="82">
        <f>X10</f>
        <v>0</v>
      </c>
      <c r="BZ21" s="82"/>
      <c r="CA21" s="82">
        <f>Z10</f>
        <v>0</v>
      </c>
      <c r="CB21" s="82"/>
      <c r="CC21" s="82">
        <f>AB10</f>
        <v>0</v>
      </c>
      <c r="CD21" s="82"/>
      <c r="CE21" s="82">
        <f>AD10</f>
        <v>11029</v>
      </c>
      <c r="CF21" s="82"/>
      <c r="CG21" s="82">
        <f>AF10</f>
        <v>0</v>
      </c>
      <c r="CH21" s="82"/>
      <c r="CI21" s="82">
        <f>AH10</f>
        <v>0</v>
      </c>
      <c r="CJ21" s="82"/>
      <c r="CK21" s="82">
        <f>AJ10</f>
        <v>0</v>
      </c>
      <c r="CL21" s="82"/>
      <c r="CM21" s="82">
        <f>AL10</f>
        <v>0</v>
      </c>
      <c r="CN21" s="82"/>
      <c r="CO21" s="82">
        <f>AN10</f>
        <v>0</v>
      </c>
      <c r="CP21" s="82"/>
      <c r="CQ21" s="82">
        <f>AP10</f>
        <v>0</v>
      </c>
      <c r="CR21" s="82"/>
      <c r="CS21" s="82">
        <f>AR10</f>
        <v>0</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70" t="s">
        <v>149</v>
      </c>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E22" s="282"/>
      <c r="BF22" s="283">
        <v>10</v>
      </c>
      <c r="BG22" s="284" t="s">
        <v>39</v>
      </c>
      <c r="BH22" s="82" t="s">
        <v>313</v>
      </c>
      <c r="BI22" s="82">
        <f>(F8-F9)</f>
        <v>0</v>
      </c>
      <c r="BJ22" s="82">
        <f>(H8-H9)</f>
        <v>9267</v>
      </c>
      <c r="BK22" s="82">
        <f>(J8-J9)</f>
        <v>0</v>
      </c>
      <c r="BL22" s="82"/>
      <c r="BM22" s="82">
        <f>(L8-L9)</f>
        <v>0</v>
      </c>
      <c r="BN22" s="82"/>
      <c r="BO22" s="82">
        <f>(N8-N9)</f>
        <v>0</v>
      </c>
      <c r="BP22" s="82"/>
      <c r="BQ22" s="82">
        <f>(P8-P9)</f>
        <v>0</v>
      </c>
      <c r="BR22" s="82"/>
      <c r="BS22" s="82">
        <f>(R8-R9)</f>
        <v>19574</v>
      </c>
      <c r="BT22" s="82"/>
      <c r="BU22" s="82">
        <f>(T8-T9)</f>
        <v>16903</v>
      </c>
      <c r="BV22" s="82"/>
      <c r="BW22" s="82">
        <f>(V8-V9)</f>
        <v>20222</v>
      </c>
      <c r="BX22" s="82"/>
      <c r="BY22" s="82">
        <f>(X8-X9)</f>
        <v>23860</v>
      </c>
      <c r="BZ22" s="82"/>
      <c r="CA22" s="82">
        <f>(Z8-Z9)</f>
        <v>20387</v>
      </c>
      <c r="CB22" s="82"/>
      <c r="CC22" s="82">
        <f>(AB8-AB9)</f>
        <v>19794</v>
      </c>
      <c r="CD22" s="82"/>
      <c r="CE22" s="82">
        <f>(AD8-AD9)</f>
        <v>11029</v>
      </c>
      <c r="CF22" s="82"/>
      <c r="CG22" s="82">
        <f>(AF8-AF9)</f>
        <v>18299</v>
      </c>
      <c r="CH22" s="82"/>
      <c r="CI22" s="82">
        <f>(AH8-AH9)</f>
        <v>23509</v>
      </c>
      <c r="CJ22" s="82"/>
      <c r="CK22" s="82">
        <f>(AJ8-AJ9)</f>
        <v>21563</v>
      </c>
      <c r="CL22" s="82"/>
      <c r="CM22" s="82">
        <f>(AL8-AL9)</f>
        <v>17830</v>
      </c>
      <c r="CN22" s="82"/>
      <c r="CO22" s="82">
        <f>(AN8-AN9)</f>
        <v>25247</v>
      </c>
      <c r="CP22" s="82"/>
      <c r="CQ22" s="82">
        <f>(AP8-AP9)</f>
        <v>20205</v>
      </c>
      <c r="CR22" s="82"/>
      <c r="CS22" s="82">
        <f>(AR8-AR9)</f>
        <v>18488</v>
      </c>
      <c r="CT22" s="82"/>
      <c r="CU22" s="82">
        <f>(AT8-AT9)</f>
        <v>16189</v>
      </c>
      <c r="CV22" s="607"/>
      <c r="CW22" s="82">
        <f>(AV8-AV9)</f>
        <v>16695</v>
      </c>
      <c r="CX22" s="82"/>
      <c r="CY22" s="82">
        <f>(AX8-AX9)</f>
        <v>14431</v>
      </c>
      <c r="CZ22" s="607"/>
      <c r="DA22" s="82">
        <f>(AZ8-AZ9)</f>
        <v>19333</v>
      </c>
      <c r="DB22" s="82"/>
      <c r="DC22" s="82">
        <f>(BB8-BB9)</f>
        <v>23708</v>
      </c>
      <c r="DD22" s="82"/>
      <c r="DE22" s="598">
        <v>204</v>
      </c>
      <c r="DF22" s="598" t="s">
        <v>353</v>
      </c>
      <c r="DG22" s="598">
        <v>119200</v>
      </c>
      <c r="DH22" s="598">
        <v>10300</v>
      </c>
      <c r="DI22" s="598">
        <v>0</v>
      </c>
      <c r="DJ22" s="598">
        <v>26390</v>
      </c>
      <c r="DK22" s="285"/>
    </row>
    <row r="23" spans="1:115" ht="9" customHeight="1">
      <c r="A23" s="280"/>
      <c r="B23" s="280"/>
      <c r="C23" s="278" t="s">
        <v>148</v>
      </c>
      <c r="D23" s="774" t="s">
        <v>114</v>
      </c>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c r="BC23" s="774"/>
      <c r="BD23" s="774"/>
      <c r="BE23" s="286"/>
      <c r="BF23" s="287" t="s">
        <v>182</v>
      </c>
      <c r="BG23" s="284" t="s">
        <v>231</v>
      </c>
      <c r="BH23" s="82"/>
      <c r="BI23" s="82" t="str">
        <f>IF(OR(ISBLANK(F8),ISBLANK(F9),ISBLANK(F10)),"N/A",IF((BI21=BI22),"ok","&lt;&gt;"))</f>
        <v>N/A</v>
      </c>
      <c r="BJ23" s="82" t="str">
        <f>IF(OR(ISBLANK(H8),ISBLANK(H9),ISBLANK(H10)),"N/A",IF((BJ21=BJ22),"ok","&lt;&gt;"))</f>
        <v>ok</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N/A</v>
      </c>
      <c r="BX23" s="82"/>
      <c r="BY23" s="82" t="str">
        <f>IF(OR(ISBLANK(X8),ISBLANK(X9),ISBLANK(X10)),"N/A",IF((BY21=BY22),"ok","&lt;&gt;"))</f>
        <v>N/A</v>
      </c>
      <c r="BZ23" s="82"/>
      <c r="CA23" s="82" t="str">
        <f>IF(OR(ISBLANK(Z8),ISBLANK(Z9),ISBLANK(Z10)),"N/A",IF((CA21=CA22),"ok","&lt;&gt;"))</f>
        <v>N/A</v>
      </c>
      <c r="CB23" s="82"/>
      <c r="CC23" s="82" t="str">
        <f>IF(OR(ISBLANK(AB8),ISBLANK(AB9),ISBLANK(AB10)),"N/A",IF((CC21=CC22),"ok","&lt;&gt;"))</f>
        <v>N/A</v>
      </c>
      <c r="CD23" s="82"/>
      <c r="CE23" s="82" t="str">
        <f>IF(OR(ISBLANK(AD8),ISBLANK(AD9),ISBLANK(AD10)),"N/A",IF((CE21=CE22),"ok","&lt;&gt;"))</f>
        <v>ok</v>
      </c>
      <c r="CF23" s="82"/>
      <c r="CG23" s="82" t="str">
        <f>IF(OR(ISBLANK(AF8),ISBLANK(AF9),ISBLANK(AF10)),"N/A",IF((CG21=CG22),"ok","&lt;&gt;"))</f>
        <v>N/A</v>
      </c>
      <c r="CH23" s="82"/>
      <c r="CI23" s="82" t="str">
        <f>IF(OR(ISBLANK(AH8),ISBLANK(AH9),ISBLANK(AH10)),"N/A",IF((CI21=CI22),"ok","&lt;&gt;"))</f>
        <v>N/A</v>
      </c>
      <c r="CJ23" s="82"/>
      <c r="CK23" s="82" t="str">
        <f>IF(OR(ISBLANK(AJ8),ISBLANK(AJ9),ISBLANK(AJ10)),"N/A",IF((CK21=CK22),"ok","&lt;&gt;"))</f>
        <v>N/A</v>
      </c>
      <c r="CL23" s="82"/>
      <c r="CM23" s="82" t="str">
        <f>IF(OR(ISBLANK(AL8),ISBLANK(AL9),ISBLANK(AL10)),"N/A",IF((CM21=CM22),"ok","&lt;&gt;"))</f>
        <v>N/A</v>
      </c>
      <c r="CN23" s="82"/>
      <c r="CO23" s="82" t="str">
        <f>IF(OR(ISBLANK(AN8),ISBLANK(AN9),ISBLANK(AN10)),"N/A",IF((CO21=CO22),"ok","&lt;&gt;"))</f>
        <v>N/A</v>
      </c>
      <c r="CP23" s="82"/>
      <c r="CQ23" s="82" t="str">
        <f>IF(OR(ISBLANK(AP8),ISBLANK(AP9),ISBLANK(AP10)),"N/A",IF((CQ21=CQ22),"ok","&lt;&gt;"))</f>
        <v>N/A</v>
      </c>
      <c r="CR23" s="82"/>
      <c r="CS23" s="82" t="str">
        <f>IF(OR(ISBLANK(AR8),ISBLANK(AR9),ISBLANK(AR10)),"N/A",IF((CS21=CS22),"ok","&lt;&gt;"))</f>
        <v>N/A</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0"/>
      <c r="AX24" s="790"/>
      <c r="AY24" s="790"/>
      <c r="AZ24" s="790"/>
      <c r="BA24" s="790"/>
      <c r="BB24" s="790"/>
      <c r="BC24" s="790"/>
      <c r="BD24" s="790"/>
      <c r="BE24" s="282"/>
      <c r="BF24" s="97">
        <v>5</v>
      </c>
      <c r="BG24" s="257" t="s">
        <v>19</v>
      </c>
      <c r="BH24" s="82" t="s">
        <v>313</v>
      </c>
      <c r="BI24" s="82">
        <f>F12</f>
        <v>0</v>
      </c>
      <c r="BJ24" s="82">
        <f>H12</f>
        <v>9267</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11029</v>
      </c>
      <c r="CF24" s="82"/>
      <c r="CG24" s="82">
        <f>AF12</f>
        <v>0</v>
      </c>
      <c r="CH24" s="82"/>
      <c r="CI24" s="82">
        <f>AH12</f>
        <v>0</v>
      </c>
      <c r="CJ24" s="82"/>
      <c r="CK24" s="82">
        <f>AJ12</f>
        <v>0</v>
      </c>
      <c r="CL24" s="82"/>
      <c r="CM24" s="82">
        <f>AL12</f>
        <v>0</v>
      </c>
      <c r="CN24" s="82"/>
      <c r="CO24" s="82">
        <f>AN12</f>
        <v>0</v>
      </c>
      <c r="CP24" s="82"/>
      <c r="CQ24" s="82">
        <f>AP12</f>
        <v>0</v>
      </c>
      <c r="CR24" s="82"/>
      <c r="CS24" s="82">
        <f>AR12</f>
        <v>0</v>
      </c>
      <c r="CT24" s="82"/>
      <c r="CU24" s="82">
        <f>AT12</f>
        <v>0</v>
      </c>
      <c r="CV24" s="614"/>
      <c r="CW24" s="82">
        <f>AV12</f>
        <v>0</v>
      </c>
      <c r="CX24" s="82"/>
      <c r="CY24" s="82">
        <f>AX12</f>
        <v>0</v>
      </c>
      <c r="CZ24" s="614"/>
      <c r="DA24" s="82">
        <f>AZ12</f>
        <v>0</v>
      </c>
      <c r="DB24" s="82"/>
      <c r="DC24" s="82">
        <f>BB12</f>
        <v>0</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0</v>
      </c>
      <c r="BJ25" s="82">
        <f>H10+H11</f>
        <v>9267</v>
      </c>
      <c r="BK25" s="82">
        <f>P10+P11</f>
        <v>0</v>
      </c>
      <c r="BL25" s="82"/>
      <c r="BM25" s="82">
        <f>L10+L11</f>
        <v>0</v>
      </c>
      <c r="BN25" s="82"/>
      <c r="BO25" s="82">
        <f>Q10+Q11</f>
        <v>0</v>
      </c>
      <c r="BP25" s="82"/>
      <c r="BQ25" s="82">
        <f>S10+S11</f>
        <v>0</v>
      </c>
      <c r="BR25" s="82"/>
      <c r="BS25" s="82">
        <f>R10+R11</f>
        <v>0</v>
      </c>
      <c r="BT25" s="82"/>
      <c r="BU25" s="82">
        <f>T10+T11</f>
        <v>0</v>
      </c>
      <c r="BV25" s="82"/>
      <c r="BW25" s="82">
        <f>V10+V11</f>
        <v>0</v>
      </c>
      <c r="BX25" s="82"/>
      <c r="BY25" s="82">
        <f>X10+X11</f>
        <v>0</v>
      </c>
      <c r="BZ25" s="83"/>
      <c r="CA25" s="82">
        <f>Z10+Z11</f>
        <v>0</v>
      </c>
      <c r="CB25" s="82"/>
      <c r="CC25" s="82">
        <f>AB10+AB11</f>
        <v>0</v>
      </c>
      <c r="CD25" s="82"/>
      <c r="CE25" s="82">
        <f>AD10+AD11</f>
        <v>11029</v>
      </c>
      <c r="CF25" s="82"/>
      <c r="CG25" s="82">
        <f>AF10+AF11</f>
        <v>0</v>
      </c>
      <c r="CH25" s="82"/>
      <c r="CI25" s="82">
        <f>AH10+AH11</f>
        <v>0</v>
      </c>
      <c r="CJ25" s="82"/>
      <c r="CK25" s="82">
        <f>AJ10+AJ11</f>
        <v>0</v>
      </c>
      <c r="CL25" s="82"/>
      <c r="CM25" s="82">
        <f>AL10+AL11</f>
        <v>0</v>
      </c>
      <c r="CN25" s="82"/>
      <c r="CO25" s="82">
        <f>AN10+AN11</f>
        <v>0</v>
      </c>
      <c r="CP25" s="82"/>
      <c r="CQ25" s="82">
        <f>AP10+AP11</f>
        <v>0</v>
      </c>
      <c r="CR25" s="82"/>
      <c r="CS25" s="82">
        <f>AR10+AR11</f>
        <v>0</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55" t="str">
        <f>D8&amp;" (W1, 1)"</f>
        <v>Precipitation                               (W1, 1)</v>
      </c>
      <c r="G26" s="756"/>
      <c r="H26" s="756"/>
      <c r="I26" s="757"/>
      <c r="J26" s="291"/>
      <c r="K26" s="291"/>
      <c r="L26" s="291"/>
      <c r="M26" s="755" t="str">
        <f>D9&amp;"(W1, 2)"</f>
        <v>Actual evapotranspiration(W1, 2)</v>
      </c>
      <c r="N26" s="758"/>
      <c r="O26" s="758"/>
      <c r="P26" s="758"/>
      <c r="Q26" s="759"/>
      <c r="R26" s="289"/>
      <c r="S26" s="291"/>
      <c r="T26" s="291"/>
      <c r="U26" s="291"/>
      <c r="V26" s="291"/>
      <c r="W26" s="291"/>
      <c r="X26" s="291"/>
      <c r="Y26" s="291"/>
      <c r="Z26" s="291"/>
      <c r="AA26" s="290"/>
      <c r="AB26" s="775"/>
      <c r="AC26" s="775"/>
      <c r="AD26" s="775"/>
      <c r="AE26" s="775"/>
      <c r="AF26" s="292"/>
      <c r="AG26" s="292"/>
      <c r="AH26" s="292"/>
      <c r="AI26" s="292"/>
      <c r="AJ26" s="775"/>
      <c r="AK26" s="776"/>
      <c r="AL26" s="776"/>
      <c r="AM26" s="776"/>
      <c r="AN26" s="776"/>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ok</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ok</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0</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55" t="str">
        <f>LEFT(D10,LEN(D10)-7)&amp;" (W1, 3)"</f>
        <v>Internal flow (W1, 3)</v>
      </c>
      <c r="I28" s="760"/>
      <c r="J28" s="760"/>
      <c r="K28" s="760"/>
      <c r="L28" s="760"/>
      <c r="M28" s="760"/>
      <c r="N28" s="760"/>
      <c r="O28" s="761"/>
      <c r="P28" s="290"/>
      <c r="Q28" s="290"/>
      <c r="R28" s="290"/>
      <c r="S28" s="290"/>
      <c r="T28" s="290"/>
      <c r="U28" s="290"/>
      <c r="V28" s="290"/>
      <c r="W28" s="290"/>
      <c r="X28" s="290"/>
      <c r="Y28" s="290"/>
      <c r="Z28" s="290"/>
      <c r="AA28" s="290"/>
      <c r="AB28" s="289"/>
      <c r="AC28" s="292"/>
      <c r="AD28" s="775"/>
      <c r="AE28" s="777"/>
      <c r="AF28" s="777"/>
      <c r="AG28" s="777"/>
      <c r="AH28" s="777"/>
      <c r="AI28" s="777"/>
      <c r="AJ28" s="777"/>
      <c r="AK28" s="777"/>
      <c r="AL28" s="777"/>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f>VLOOKUP(B3,DE7:DJ183,3,FALSE)</f>
        <v>22540</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55" t="str">
        <f>D13&amp;" (W1, 6)"</f>
        <v>Outflow of surface and groundwaters to neighbouring countries (W1, 6)</v>
      </c>
      <c r="W29" s="756"/>
      <c r="X29" s="756"/>
      <c r="Y29" s="756"/>
      <c r="Z29" s="756"/>
      <c r="AA29" s="757"/>
      <c r="AB29" s="292"/>
      <c r="AC29" s="292"/>
      <c r="AD29" s="292"/>
      <c r="AE29" s="292"/>
      <c r="AF29" s="292"/>
      <c r="AG29" s="292"/>
      <c r="AH29" s="292"/>
      <c r="AI29" s="292"/>
      <c r="AJ29" s="292"/>
      <c r="AK29" s="292"/>
      <c r="AL29" s="292"/>
      <c r="AM29" s="292"/>
      <c r="AN29" s="292"/>
      <c r="AO29" s="292"/>
      <c r="AP29" s="292"/>
      <c r="AQ29" s="292"/>
      <c r="AR29" s="292"/>
      <c r="AS29" s="292"/>
      <c r="AT29" s="775"/>
      <c r="AU29" s="775"/>
      <c r="AV29" s="775"/>
      <c r="AW29" s="775"/>
      <c r="AX29" s="775"/>
      <c r="AY29" s="775"/>
      <c r="AZ29" s="775"/>
      <c r="BA29" s="775"/>
      <c r="BB29" s="775"/>
      <c r="BC29" s="778"/>
      <c r="BD29" s="288"/>
      <c r="BE29" s="282"/>
      <c r="BF29" s="287" t="s">
        <v>182</v>
      </c>
      <c r="BG29" s="295" t="s">
        <v>233</v>
      </c>
      <c r="BH29" s="82" t="s">
        <v>313</v>
      </c>
      <c r="BI29" s="82">
        <f>ABS(BI27-BI28)</f>
        <v>22540</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55" t="str">
        <f>D11&amp;" (W1, 4)"</f>
        <v>Inflow of surface and groundwaters from neighbouring countries (W1, 4)</v>
      </c>
      <c r="G30" s="762"/>
      <c r="H30" s="762"/>
      <c r="I30" s="763"/>
      <c r="J30" s="291"/>
      <c r="K30" s="291"/>
      <c r="L30" s="291"/>
      <c r="M30" s="755" t="str">
        <f>LEFT(D12,LEN(D12)-7)&amp;" (W1, 5)"</f>
        <v>Renewable freshwater resources (W1, 5)</v>
      </c>
      <c r="N30" s="764"/>
      <c r="O30" s="764"/>
      <c r="P30" s="765"/>
      <c r="Q30" s="291"/>
      <c r="R30" s="291"/>
      <c r="S30" s="291"/>
      <c r="T30" s="291"/>
      <c r="U30" s="291"/>
      <c r="V30" s="291"/>
      <c r="W30" s="291"/>
      <c r="X30" s="291"/>
      <c r="Y30" s="291"/>
      <c r="Z30" s="291"/>
      <c r="AA30" s="291"/>
      <c r="AB30" s="775"/>
      <c r="AC30" s="779"/>
      <c r="AD30" s="779"/>
      <c r="AE30" s="779"/>
      <c r="AF30" s="292"/>
      <c r="AG30" s="292"/>
      <c r="AH30" s="292"/>
      <c r="AI30" s="292"/>
      <c r="AJ30" s="292"/>
      <c r="AK30" s="775"/>
      <c r="AL30" s="778"/>
      <c r="AM30" s="778"/>
      <c r="AN30" s="778"/>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0</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55" t="str">
        <f>D16&amp;" (W1, 9)"</f>
        <v>Outflow of surface and groundwaters to the sea (W1, 9)</v>
      </c>
      <c r="W31" s="756"/>
      <c r="X31" s="756"/>
      <c r="Y31" s="756"/>
      <c r="Z31" s="756"/>
      <c r="AA31" s="757"/>
      <c r="AB31" s="775"/>
      <c r="AC31" s="779"/>
      <c r="AD31" s="779"/>
      <c r="AE31" s="779"/>
      <c r="AF31" s="624"/>
      <c r="AG31" s="294"/>
      <c r="AH31" s="289"/>
      <c r="AI31" s="289"/>
      <c r="AJ31" s="289"/>
      <c r="AK31" s="775"/>
      <c r="AL31" s="778"/>
      <c r="AM31" s="778"/>
      <c r="AN31" s="778"/>
      <c r="AO31" s="626"/>
      <c r="AP31" s="626"/>
      <c r="AQ31" s="208"/>
      <c r="AR31" s="208"/>
      <c r="AS31" s="208"/>
      <c r="AT31" s="775"/>
      <c r="AU31" s="775"/>
      <c r="AV31" s="775"/>
      <c r="AW31" s="775"/>
      <c r="AX31" s="775"/>
      <c r="AY31" s="775"/>
      <c r="AZ31" s="775"/>
      <c r="BA31" s="775"/>
      <c r="BB31" s="775"/>
      <c r="BC31" s="778"/>
      <c r="BD31" s="298"/>
      <c r="BE31" s="282"/>
      <c r="BF31" s="299">
        <v>13</v>
      </c>
      <c r="BG31" s="284" t="s">
        <v>54</v>
      </c>
      <c r="BH31" s="82" t="s">
        <v>313</v>
      </c>
      <c r="BI31" s="82">
        <f>VLOOKUP(B3,DE7:DJ183,4,FALSE)</f>
        <v>10820</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f>ABS(BI30-BI31)</f>
        <v>10820</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22.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f>VLOOKUP(B3,DE7:DJ183,5,FALSE)</f>
        <v>0</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87" t="s">
        <v>310</v>
      </c>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88"/>
      <c r="BB35" s="788"/>
      <c r="BC35" s="788"/>
      <c r="BD35" s="789"/>
      <c r="BF35" s="287" t="s">
        <v>182</v>
      </c>
      <c r="BG35" s="284" t="s">
        <v>235</v>
      </c>
      <c r="BH35" s="82" t="s">
        <v>313</v>
      </c>
      <c r="BI35" s="82">
        <f>ABS(BI33-BI34)</f>
        <v>0</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3:114" ht="18" customHeight="1">
      <c r="C36" s="542"/>
      <c r="D36" s="771"/>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2"/>
      <c r="AY36" s="772"/>
      <c r="AZ36" s="772"/>
      <c r="BA36" s="772"/>
      <c r="BB36" s="772"/>
      <c r="BC36" s="772"/>
      <c r="BD36" s="773"/>
      <c r="BF36" s="97">
        <v>5</v>
      </c>
      <c r="BG36" s="257" t="s">
        <v>19</v>
      </c>
      <c r="BH36" s="82" t="s">
        <v>313</v>
      </c>
      <c r="BI36" s="82">
        <f>F12</f>
        <v>0</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84"/>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5"/>
      <c r="BC37" s="785"/>
      <c r="BD37" s="786"/>
      <c r="BF37" s="283">
        <v>15</v>
      </c>
      <c r="BG37" s="284" t="s">
        <v>55</v>
      </c>
      <c r="BH37" s="82" t="s">
        <v>313</v>
      </c>
      <c r="BI37" s="82">
        <f>VLOOKUP(B3,DE7:DJ183,6,FALSE)</f>
        <v>10820</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84"/>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6"/>
      <c r="BF38" s="313" t="s">
        <v>182</v>
      </c>
      <c r="BG38" s="314" t="s">
        <v>236</v>
      </c>
      <c r="BH38" s="95" t="s">
        <v>313</v>
      </c>
      <c r="BI38" s="95">
        <f>ABS(BI36-BI37)</f>
        <v>10820</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84"/>
      <c r="E39" s="785"/>
      <c r="F39" s="785"/>
      <c r="G39" s="785"/>
      <c r="H39" s="785"/>
      <c r="I39" s="785"/>
      <c r="J39" s="785"/>
      <c r="K39" s="785"/>
      <c r="L39" s="785"/>
      <c r="M39" s="785"/>
      <c r="N39" s="785"/>
      <c r="O39" s="785"/>
      <c r="P39" s="785"/>
      <c r="Q39" s="785"/>
      <c r="R39" s="785"/>
      <c r="S39" s="785"/>
      <c r="T39" s="785"/>
      <c r="U39" s="785"/>
      <c r="V39" s="785"/>
      <c r="W39" s="785"/>
      <c r="X39" s="785"/>
      <c r="Y39" s="785"/>
      <c r="Z39" s="785"/>
      <c r="AA39" s="785"/>
      <c r="AB39" s="785"/>
      <c r="AC39" s="785"/>
      <c r="AD39" s="785"/>
      <c r="AE39" s="785"/>
      <c r="AF39" s="785"/>
      <c r="AG39" s="785"/>
      <c r="AH39" s="785"/>
      <c r="AI39" s="785"/>
      <c r="AJ39" s="785"/>
      <c r="AK39" s="785"/>
      <c r="AL39" s="785"/>
      <c r="AM39" s="785"/>
      <c r="AN39" s="785"/>
      <c r="AO39" s="785"/>
      <c r="AP39" s="785"/>
      <c r="AQ39" s="785"/>
      <c r="AR39" s="785"/>
      <c r="AS39" s="785"/>
      <c r="AT39" s="785"/>
      <c r="AU39" s="785"/>
      <c r="AV39" s="785"/>
      <c r="AW39" s="785"/>
      <c r="AX39" s="785"/>
      <c r="AY39" s="785"/>
      <c r="AZ39" s="785"/>
      <c r="BA39" s="785"/>
      <c r="BB39" s="785"/>
      <c r="BC39" s="785"/>
      <c r="BD39" s="786"/>
      <c r="BF39" s="315" t="s">
        <v>57</v>
      </c>
      <c r="BG39" s="316" t="s">
        <v>58</v>
      </c>
      <c r="DE39" s="598">
        <v>344</v>
      </c>
      <c r="DF39" s="598" t="s">
        <v>368</v>
      </c>
      <c r="DG39" s="598"/>
      <c r="DH39" s="598"/>
      <c r="DI39" s="598"/>
      <c r="DJ39" s="598"/>
    </row>
    <row r="40" spans="3:114" ht="18" customHeight="1">
      <c r="C40" s="542"/>
      <c r="D40" s="784"/>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785"/>
      <c r="AV40" s="785"/>
      <c r="AW40" s="785"/>
      <c r="AX40" s="785"/>
      <c r="AY40" s="785"/>
      <c r="AZ40" s="785"/>
      <c r="BA40" s="785"/>
      <c r="BB40" s="785"/>
      <c r="BC40" s="785"/>
      <c r="BD40" s="786"/>
      <c r="BF40" s="315" t="s">
        <v>59</v>
      </c>
      <c r="BG40" s="316" t="s">
        <v>60</v>
      </c>
      <c r="DE40" s="598">
        <v>446</v>
      </c>
      <c r="DF40" s="598" t="s">
        <v>369</v>
      </c>
      <c r="DG40" s="598"/>
      <c r="DH40" s="598"/>
      <c r="DI40" s="598"/>
      <c r="DJ40" s="598"/>
    </row>
    <row r="41" spans="3:114" ht="18" customHeight="1">
      <c r="C41" s="542"/>
      <c r="D41" s="784"/>
      <c r="E41" s="785"/>
      <c r="F41" s="785"/>
      <c r="G41" s="785"/>
      <c r="H41" s="785"/>
      <c r="I41" s="785"/>
      <c r="J41" s="785"/>
      <c r="K41" s="785"/>
      <c r="L41" s="785"/>
      <c r="M41" s="785"/>
      <c r="N41" s="785"/>
      <c r="O41" s="785"/>
      <c r="P41" s="785"/>
      <c r="Q41" s="785"/>
      <c r="R41" s="785"/>
      <c r="S41" s="785"/>
      <c r="T41" s="785"/>
      <c r="U41" s="785"/>
      <c r="V41" s="785"/>
      <c r="W41" s="785"/>
      <c r="X41" s="785"/>
      <c r="Y41" s="785"/>
      <c r="Z41" s="785"/>
      <c r="AA41" s="785"/>
      <c r="AB41" s="785"/>
      <c r="AC41" s="785"/>
      <c r="AD41" s="785"/>
      <c r="AE41" s="785"/>
      <c r="AF41" s="785"/>
      <c r="AG41" s="785"/>
      <c r="AH41" s="785"/>
      <c r="AI41" s="785"/>
      <c r="AJ41" s="785"/>
      <c r="AK41" s="785"/>
      <c r="AL41" s="785"/>
      <c r="AM41" s="785"/>
      <c r="AN41" s="785"/>
      <c r="AO41" s="785"/>
      <c r="AP41" s="785"/>
      <c r="AQ41" s="785"/>
      <c r="AR41" s="785"/>
      <c r="AS41" s="785"/>
      <c r="AT41" s="785"/>
      <c r="AU41" s="785"/>
      <c r="AV41" s="785"/>
      <c r="AW41" s="785"/>
      <c r="AX41" s="785"/>
      <c r="AY41" s="785"/>
      <c r="AZ41" s="785"/>
      <c r="BA41" s="785"/>
      <c r="BB41" s="785"/>
      <c r="BC41" s="785"/>
      <c r="BD41" s="786"/>
      <c r="BF41" s="317" t="s">
        <v>62</v>
      </c>
      <c r="BG41" s="316" t="s">
        <v>64</v>
      </c>
      <c r="BH41" s="318"/>
      <c r="DE41" s="598">
        <v>170</v>
      </c>
      <c r="DF41" s="598" t="s">
        <v>370</v>
      </c>
      <c r="DG41" s="598">
        <v>3699000</v>
      </c>
      <c r="DH41" s="598">
        <v>2145000</v>
      </c>
      <c r="DI41" s="598">
        <v>215000</v>
      </c>
      <c r="DJ41" s="598">
        <v>2360000</v>
      </c>
    </row>
    <row r="42" spans="3:114" ht="18" customHeight="1">
      <c r="C42" s="542"/>
      <c r="D42" s="784"/>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5"/>
      <c r="AY42" s="785"/>
      <c r="AZ42" s="785"/>
      <c r="BA42" s="785"/>
      <c r="BB42" s="785"/>
      <c r="BC42" s="785"/>
      <c r="BD42" s="786"/>
      <c r="BF42" s="317" t="s">
        <v>61</v>
      </c>
      <c r="BG42" s="316" t="s">
        <v>13</v>
      </c>
      <c r="BH42" s="318"/>
      <c r="DE42" s="598">
        <v>174</v>
      </c>
      <c r="DF42" s="598" t="s">
        <v>371</v>
      </c>
      <c r="DG42" s="598">
        <v>1675</v>
      </c>
      <c r="DH42" s="598">
        <v>1200</v>
      </c>
      <c r="DI42" s="598">
        <v>0</v>
      </c>
      <c r="DJ42" s="598">
        <v>1200</v>
      </c>
    </row>
    <row r="43" spans="3:114" ht="18" customHeight="1">
      <c r="C43" s="542"/>
      <c r="D43" s="784"/>
      <c r="E43" s="785"/>
      <c r="F43" s="785"/>
      <c r="G43" s="785"/>
      <c r="H43" s="785"/>
      <c r="I43" s="785"/>
      <c r="J43" s="785"/>
      <c r="K43" s="785"/>
      <c r="L43" s="785"/>
      <c r="M43" s="785"/>
      <c r="N43" s="785"/>
      <c r="O43" s="785"/>
      <c r="P43" s="785"/>
      <c r="Q43" s="785"/>
      <c r="R43" s="785"/>
      <c r="S43" s="785"/>
      <c r="T43" s="785"/>
      <c r="U43" s="785"/>
      <c r="V43" s="785"/>
      <c r="W43" s="785"/>
      <c r="X43" s="785"/>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785"/>
      <c r="AV43" s="785"/>
      <c r="AW43" s="785"/>
      <c r="AX43" s="785"/>
      <c r="AY43" s="785"/>
      <c r="AZ43" s="785"/>
      <c r="BA43" s="785"/>
      <c r="BB43" s="785"/>
      <c r="BC43" s="785"/>
      <c r="BD43" s="786"/>
      <c r="BF43" s="315" t="s">
        <v>63</v>
      </c>
      <c r="BG43" s="316" t="s">
        <v>65</v>
      </c>
      <c r="BH43" s="318"/>
      <c r="DE43" s="598">
        <v>178</v>
      </c>
      <c r="DF43" s="598" t="s">
        <v>372</v>
      </c>
      <c r="DG43" s="598">
        <v>562900</v>
      </c>
      <c r="DH43" s="598">
        <v>222000</v>
      </c>
      <c r="DI43" s="598">
        <v>52000</v>
      </c>
      <c r="DJ43" s="598">
        <v>832000</v>
      </c>
    </row>
    <row r="44" spans="3:114" ht="18" customHeight="1">
      <c r="C44" s="542"/>
      <c r="D44" s="784"/>
      <c r="E44" s="785"/>
      <c r="F44" s="785"/>
      <c r="G44" s="785"/>
      <c r="H44" s="785"/>
      <c r="I44" s="785"/>
      <c r="J44" s="785"/>
      <c r="K44" s="785"/>
      <c r="L44" s="785"/>
      <c r="M44" s="785"/>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785"/>
      <c r="AV44" s="785"/>
      <c r="AW44" s="785"/>
      <c r="AX44" s="785"/>
      <c r="AY44" s="785"/>
      <c r="AZ44" s="785"/>
      <c r="BA44" s="785"/>
      <c r="BB44" s="785"/>
      <c r="BC44" s="785"/>
      <c r="BD44" s="786"/>
      <c r="BH44" s="318"/>
      <c r="DE44" s="598">
        <v>188</v>
      </c>
      <c r="DF44" s="598" t="s">
        <v>373</v>
      </c>
      <c r="DG44" s="598">
        <v>149500</v>
      </c>
      <c r="DH44" s="598">
        <v>113000</v>
      </c>
      <c r="DI44" s="598">
        <v>0</v>
      </c>
      <c r="DJ44" s="598">
        <v>113000</v>
      </c>
    </row>
    <row r="45" spans="3:114" ht="18" customHeight="1">
      <c r="C45" s="542"/>
      <c r="D45" s="784"/>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5"/>
      <c r="AY45" s="785"/>
      <c r="AZ45" s="785"/>
      <c r="BA45" s="785"/>
      <c r="BB45" s="785"/>
      <c r="BC45" s="785"/>
      <c r="BD45" s="786"/>
      <c r="DE45" s="598">
        <v>384</v>
      </c>
      <c r="DF45" s="598" t="s">
        <v>154</v>
      </c>
      <c r="DG45" s="598">
        <v>434700</v>
      </c>
      <c r="DH45" s="598">
        <v>76840</v>
      </c>
      <c r="DI45" s="598">
        <v>4300</v>
      </c>
      <c r="DJ45" s="598">
        <v>84140</v>
      </c>
    </row>
    <row r="46" spans="3:114" ht="18" customHeight="1">
      <c r="C46" s="542"/>
      <c r="D46" s="784"/>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85"/>
      <c r="AS46" s="785"/>
      <c r="AT46" s="785"/>
      <c r="AU46" s="785"/>
      <c r="AV46" s="785"/>
      <c r="AW46" s="785"/>
      <c r="AX46" s="785"/>
      <c r="AY46" s="785"/>
      <c r="AZ46" s="785"/>
      <c r="BA46" s="785"/>
      <c r="BB46" s="785"/>
      <c r="BC46" s="785"/>
      <c r="BD46" s="786"/>
      <c r="BH46" s="318"/>
      <c r="DE46" s="598">
        <v>191</v>
      </c>
      <c r="DF46" s="598" t="s">
        <v>374</v>
      </c>
      <c r="DG46" s="598">
        <v>62980</v>
      </c>
      <c r="DH46" s="598">
        <v>37700</v>
      </c>
      <c r="DI46" s="598">
        <v>33470</v>
      </c>
      <c r="DJ46" s="598">
        <v>105500</v>
      </c>
    </row>
    <row r="47" spans="3:114" ht="18" customHeight="1">
      <c r="C47" s="542"/>
      <c r="D47" s="784"/>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6"/>
      <c r="BF47" s="318"/>
      <c r="BG47" s="318"/>
      <c r="BH47" s="318"/>
      <c r="DE47" s="598">
        <v>192</v>
      </c>
      <c r="DF47" s="598" t="s">
        <v>375</v>
      </c>
      <c r="DG47" s="598">
        <v>146700</v>
      </c>
      <c r="DH47" s="598">
        <v>38120</v>
      </c>
      <c r="DI47" s="598">
        <v>0</v>
      </c>
      <c r="DJ47" s="598">
        <v>38120</v>
      </c>
    </row>
    <row r="48" spans="3:114" ht="18" customHeight="1">
      <c r="C48" s="542"/>
      <c r="D48" s="784"/>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6"/>
      <c r="DE48" s="598">
        <v>196</v>
      </c>
      <c r="DF48" s="598" t="s">
        <v>376</v>
      </c>
      <c r="DG48" s="598">
        <v>4606</v>
      </c>
      <c r="DH48" s="598">
        <v>780</v>
      </c>
      <c r="DI48" s="598">
        <v>0</v>
      </c>
      <c r="DJ48" s="598">
        <v>780</v>
      </c>
    </row>
    <row r="49" spans="3:114" ht="18" customHeight="1">
      <c r="C49" s="542"/>
      <c r="D49" s="784"/>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85"/>
      <c r="BB49" s="785"/>
      <c r="BC49" s="785"/>
      <c r="BD49" s="786"/>
      <c r="DE49" s="598">
        <v>408</v>
      </c>
      <c r="DF49" s="598" t="s">
        <v>155</v>
      </c>
      <c r="DG49" s="598">
        <v>127000</v>
      </c>
      <c r="DH49" s="598">
        <v>67000</v>
      </c>
      <c r="DI49" s="598">
        <v>0</v>
      </c>
      <c r="DJ49" s="598">
        <v>77150</v>
      </c>
    </row>
    <row r="50" spans="3:114" ht="18" customHeight="1">
      <c r="C50" s="542"/>
      <c r="D50" s="784"/>
      <c r="E50" s="785"/>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5"/>
      <c r="AY50" s="785"/>
      <c r="AZ50" s="785"/>
      <c r="BA50" s="785"/>
      <c r="BB50" s="785"/>
      <c r="BC50" s="785"/>
      <c r="BD50" s="786"/>
      <c r="DE50" s="598">
        <v>180</v>
      </c>
      <c r="DF50" s="598" t="s">
        <v>156</v>
      </c>
      <c r="DG50" s="598">
        <v>3618000</v>
      </c>
      <c r="DH50" s="598">
        <v>900000</v>
      </c>
      <c r="DI50" s="598">
        <v>383000</v>
      </c>
      <c r="DJ50" s="598">
        <v>1283000</v>
      </c>
    </row>
    <row r="51" spans="3:114" ht="18" customHeight="1">
      <c r="C51" s="542"/>
      <c r="D51" s="784"/>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5"/>
      <c r="AY51" s="785"/>
      <c r="AZ51" s="785"/>
      <c r="BA51" s="785"/>
      <c r="BB51" s="785"/>
      <c r="BC51" s="785"/>
      <c r="BD51" s="786"/>
      <c r="DE51" s="598">
        <v>262</v>
      </c>
      <c r="DF51" s="598" t="s">
        <v>377</v>
      </c>
      <c r="DG51" s="598">
        <v>5104</v>
      </c>
      <c r="DH51" s="598">
        <v>300</v>
      </c>
      <c r="DI51" s="598">
        <v>0</v>
      </c>
      <c r="DJ51" s="598">
        <v>300</v>
      </c>
    </row>
    <row r="52" spans="3:114" ht="18" customHeight="1">
      <c r="C52" s="542"/>
      <c r="D52" s="784"/>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85"/>
      <c r="BB52" s="785"/>
      <c r="BC52" s="785"/>
      <c r="BD52" s="786"/>
      <c r="DE52" s="598">
        <v>212</v>
      </c>
      <c r="DF52" s="598" t="s">
        <v>378</v>
      </c>
      <c r="DG52" s="598">
        <v>1562</v>
      </c>
      <c r="DH52" s="598">
        <v>200</v>
      </c>
      <c r="DI52" s="598">
        <v>0</v>
      </c>
      <c r="DJ52" s="598">
        <v>200</v>
      </c>
    </row>
    <row r="53" spans="3:114" ht="18" customHeight="1">
      <c r="C53" s="542"/>
      <c r="D53" s="784"/>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6"/>
      <c r="DE53" s="598">
        <v>214</v>
      </c>
      <c r="DF53" s="598" t="s">
        <v>379</v>
      </c>
      <c r="DG53" s="598">
        <v>68620</v>
      </c>
      <c r="DH53" s="598">
        <v>23500</v>
      </c>
      <c r="DI53" s="598">
        <v>0</v>
      </c>
      <c r="DJ53" s="598">
        <v>23500</v>
      </c>
    </row>
    <row r="54" spans="3:114" ht="18" customHeight="1">
      <c r="C54" s="542"/>
      <c r="D54" s="784"/>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5"/>
      <c r="BC54" s="785"/>
      <c r="BD54" s="786"/>
      <c r="DE54" s="598">
        <v>218</v>
      </c>
      <c r="DF54" s="598" t="s">
        <v>380</v>
      </c>
      <c r="DG54" s="598">
        <v>583000</v>
      </c>
      <c r="DH54" s="598">
        <v>442400</v>
      </c>
      <c r="DI54" s="598">
        <v>0</v>
      </c>
      <c r="DJ54" s="598">
        <v>442400</v>
      </c>
    </row>
    <row r="55" spans="3:114" ht="18" customHeight="1">
      <c r="C55" s="542"/>
      <c r="D55" s="784"/>
      <c r="E55" s="785"/>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6"/>
      <c r="DE55" s="598">
        <v>818</v>
      </c>
      <c r="DF55" s="598" t="s">
        <v>381</v>
      </c>
      <c r="DG55" s="598">
        <v>51070</v>
      </c>
      <c r="DH55" s="598">
        <v>1800</v>
      </c>
      <c r="DI55" s="598">
        <v>84000</v>
      </c>
      <c r="DJ55" s="598">
        <v>58300</v>
      </c>
    </row>
    <row r="56" spans="3:114" ht="18" customHeight="1">
      <c r="C56" s="542"/>
      <c r="D56" s="784"/>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5"/>
      <c r="BC56" s="785"/>
      <c r="BD56" s="786"/>
      <c r="DE56" s="598">
        <v>222</v>
      </c>
      <c r="DF56" s="598" t="s">
        <v>382</v>
      </c>
      <c r="DG56" s="598">
        <v>37540</v>
      </c>
      <c r="DH56" s="598">
        <v>15630</v>
      </c>
      <c r="DI56" s="598">
        <v>10640</v>
      </c>
      <c r="DJ56" s="598">
        <v>26270</v>
      </c>
    </row>
    <row r="57" spans="3:114" ht="20.25" customHeight="1">
      <c r="C57" s="543"/>
      <c r="D57" s="793"/>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4"/>
      <c r="AY57" s="794"/>
      <c r="AZ57" s="794"/>
      <c r="BA57" s="794"/>
      <c r="BB57" s="794"/>
      <c r="BC57" s="794"/>
      <c r="BD57" s="795"/>
      <c r="DE57" s="598">
        <v>226</v>
      </c>
      <c r="DF57" s="598" t="s">
        <v>383</v>
      </c>
      <c r="DG57" s="598">
        <v>60480</v>
      </c>
      <c r="DH57" s="598">
        <v>26000</v>
      </c>
      <c r="DI57" s="598">
        <v>0</v>
      </c>
      <c r="DJ57" s="598">
        <v>26000</v>
      </c>
    </row>
    <row r="58" spans="3:114" ht="16.5" customHeight="1">
      <c r="C58" s="791"/>
      <c r="D58" s="792"/>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319"/>
      <c r="AQ58" s="319"/>
      <c r="AR58" s="319"/>
      <c r="AS58" s="319"/>
      <c r="DE58" s="598">
        <v>232</v>
      </c>
      <c r="DF58" s="598" t="s">
        <v>384</v>
      </c>
      <c r="DG58" s="598">
        <v>45160</v>
      </c>
      <c r="DH58" s="598">
        <v>2800</v>
      </c>
      <c r="DI58" s="598">
        <v>700</v>
      </c>
      <c r="DJ58" s="598">
        <v>7315</v>
      </c>
    </row>
    <row r="59" spans="3:114" ht="12.75">
      <c r="C59" s="792"/>
      <c r="D59" s="792"/>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319"/>
      <c r="AQ59" s="319"/>
      <c r="AR59" s="319"/>
      <c r="AS59" s="319"/>
      <c r="DE59" s="598">
        <v>231</v>
      </c>
      <c r="DF59" s="598" t="s">
        <v>385</v>
      </c>
      <c r="DG59" s="598">
        <v>936400</v>
      </c>
      <c r="DH59" s="598">
        <v>122000</v>
      </c>
      <c r="DI59" s="598">
        <v>0</v>
      </c>
      <c r="DJ59" s="598">
        <v>122000</v>
      </c>
    </row>
    <row r="60" spans="109:114" ht="12.75">
      <c r="DE60" s="598">
        <v>234</v>
      </c>
      <c r="DF60" s="598" t="s">
        <v>523</v>
      </c>
      <c r="DG60" s="598"/>
      <c r="DH60" s="598"/>
      <c r="DI60" s="598">
        <v>0</v>
      </c>
      <c r="DJ60" s="598"/>
    </row>
    <row r="61" spans="109:114" ht="12.75">
      <c r="DE61" s="598">
        <v>242</v>
      </c>
      <c r="DF61" s="598" t="s">
        <v>386</v>
      </c>
      <c r="DG61" s="598">
        <v>47360</v>
      </c>
      <c r="DH61" s="598">
        <v>28550</v>
      </c>
      <c r="DI61" s="598">
        <v>0</v>
      </c>
      <c r="DJ61" s="598">
        <v>28550</v>
      </c>
    </row>
    <row r="62" spans="109:114" ht="12.75">
      <c r="DE62" s="598">
        <v>254</v>
      </c>
      <c r="DF62" s="598" t="s">
        <v>387</v>
      </c>
      <c r="DG62" s="598"/>
      <c r="DH62" s="598"/>
      <c r="DI62" s="598"/>
      <c r="DJ62" s="598"/>
    </row>
    <row r="63" spans="109:114" ht="12.75">
      <c r="DE63" s="598">
        <v>266</v>
      </c>
      <c r="DF63" s="598" t="s">
        <v>388</v>
      </c>
      <c r="DG63" s="598">
        <v>490100</v>
      </c>
      <c r="DH63" s="598">
        <v>164000</v>
      </c>
      <c r="DI63" s="598">
        <v>2000</v>
      </c>
      <c r="DJ63" s="598">
        <v>166000</v>
      </c>
    </row>
    <row r="64" spans="109:114" ht="12.75">
      <c r="DE64" s="598">
        <v>270</v>
      </c>
      <c r="DF64" s="598" t="s">
        <v>389</v>
      </c>
      <c r="DG64" s="598">
        <v>9447</v>
      </c>
      <c r="DH64" s="598">
        <v>3000</v>
      </c>
      <c r="DI64" s="598">
        <v>5000</v>
      </c>
      <c r="DJ64" s="598">
        <v>8000</v>
      </c>
    </row>
    <row r="65" spans="109:114" ht="12.75">
      <c r="DE65" s="598">
        <v>268</v>
      </c>
      <c r="DF65" s="598" t="s">
        <v>390</v>
      </c>
      <c r="DG65" s="598">
        <v>71510</v>
      </c>
      <c r="DH65" s="598">
        <v>58130</v>
      </c>
      <c r="DI65" s="598">
        <v>8350</v>
      </c>
      <c r="DJ65" s="598">
        <v>63330</v>
      </c>
    </row>
    <row r="66" spans="109:114" ht="12.75">
      <c r="DE66" s="598">
        <v>288</v>
      </c>
      <c r="DF66" s="598" t="s">
        <v>391</v>
      </c>
      <c r="DG66" s="598">
        <v>283100</v>
      </c>
      <c r="DH66" s="598">
        <v>30300</v>
      </c>
      <c r="DI66" s="598">
        <v>25900</v>
      </c>
      <c r="DJ66" s="598">
        <v>56200</v>
      </c>
    </row>
    <row r="67" spans="109:114" ht="12.75">
      <c r="DE67" s="598">
        <v>304</v>
      </c>
      <c r="DF67" s="598" t="s">
        <v>392</v>
      </c>
      <c r="DG67" s="598"/>
      <c r="DH67" s="598"/>
      <c r="DI67" s="598"/>
      <c r="DJ67" s="598"/>
    </row>
    <row r="68" spans="109:114" ht="12.75">
      <c r="DE68" s="598">
        <v>308</v>
      </c>
      <c r="DF68" s="598" t="s">
        <v>393</v>
      </c>
      <c r="DG68" s="598">
        <v>799</v>
      </c>
      <c r="DH68" s="598">
        <v>200</v>
      </c>
      <c r="DI68" s="598">
        <v>0</v>
      </c>
      <c r="DJ68" s="598">
        <v>200</v>
      </c>
    </row>
    <row r="69" spans="109:114" ht="12.75">
      <c r="DE69" s="598">
        <v>312</v>
      </c>
      <c r="DF69" s="598" t="s">
        <v>394</v>
      </c>
      <c r="DG69" s="598"/>
      <c r="DH69" s="598"/>
      <c r="DI69" s="598"/>
      <c r="DJ69" s="598"/>
    </row>
    <row r="70" spans="109:114" ht="12.75">
      <c r="DE70" s="598">
        <v>320</v>
      </c>
      <c r="DF70" s="598" t="s">
        <v>395</v>
      </c>
      <c r="DG70" s="598">
        <v>217300</v>
      </c>
      <c r="DH70" s="598">
        <v>109200</v>
      </c>
      <c r="DI70" s="598">
        <v>18710</v>
      </c>
      <c r="DJ70" s="598">
        <v>127900</v>
      </c>
    </row>
    <row r="71" spans="109:114" ht="12.75">
      <c r="DE71" s="598">
        <v>324</v>
      </c>
      <c r="DF71" s="598" t="s">
        <v>396</v>
      </c>
      <c r="DG71" s="598">
        <v>405900</v>
      </c>
      <c r="DH71" s="598">
        <v>226000</v>
      </c>
      <c r="DI71" s="598">
        <v>0</v>
      </c>
      <c r="DJ71" s="598">
        <v>226000</v>
      </c>
    </row>
    <row r="72" spans="109:114" ht="12.75">
      <c r="DE72" s="598">
        <v>624</v>
      </c>
      <c r="DF72" s="598" t="s">
        <v>397</v>
      </c>
      <c r="DG72" s="598">
        <v>56980</v>
      </c>
      <c r="DH72" s="598">
        <v>16000</v>
      </c>
      <c r="DI72" s="598">
        <v>15400</v>
      </c>
      <c r="DJ72" s="598">
        <v>31400</v>
      </c>
    </row>
    <row r="73" spans="109:114" ht="12.75">
      <c r="DE73" s="598">
        <v>328</v>
      </c>
      <c r="DF73" s="598" t="s">
        <v>402</v>
      </c>
      <c r="DG73" s="598">
        <v>513100</v>
      </c>
      <c r="DH73" s="598">
        <v>241000</v>
      </c>
      <c r="DI73" s="598">
        <v>30000</v>
      </c>
      <c r="DJ73" s="598">
        <v>271000</v>
      </c>
    </row>
    <row r="74" spans="109:114" ht="12.75">
      <c r="DE74" s="598">
        <v>332</v>
      </c>
      <c r="DF74" s="598" t="s">
        <v>403</v>
      </c>
      <c r="DG74" s="598">
        <v>39960</v>
      </c>
      <c r="DH74" s="598">
        <v>13010</v>
      </c>
      <c r="DI74" s="598">
        <v>1014.9999999999999</v>
      </c>
      <c r="DJ74" s="598">
        <v>14030</v>
      </c>
    </row>
    <row r="75" spans="109:114" ht="12.75">
      <c r="DE75" s="598">
        <v>336</v>
      </c>
      <c r="DF75" s="598" t="s">
        <v>524</v>
      </c>
      <c r="DG75" s="598"/>
      <c r="DH75" s="598"/>
      <c r="DI75" s="598"/>
      <c r="DJ75" s="598"/>
    </row>
    <row r="76" spans="109:114" ht="12.75">
      <c r="DE76" s="598">
        <v>340</v>
      </c>
      <c r="DF76" s="598" t="s">
        <v>404</v>
      </c>
      <c r="DG76" s="598">
        <v>222300</v>
      </c>
      <c r="DH76" s="598">
        <v>90660</v>
      </c>
      <c r="DI76" s="598">
        <v>1504</v>
      </c>
      <c r="DJ76" s="598">
        <v>92160</v>
      </c>
    </row>
    <row r="77" spans="109:114" ht="12.75">
      <c r="DE77" s="598">
        <v>356</v>
      </c>
      <c r="DF77" s="598" t="s">
        <v>405</v>
      </c>
      <c r="DG77" s="598">
        <v>3560000</v>
      </c>
      <c r="DH77" s="598">
        <v>1446000</v>
      </c>
      <c r="DI77" s="598">
        <v>635200</v>
      </c>
      <c r="DJ77" s="598">
        <v>1911000</v>
      </c>
    </row>
    <row r="78" spans="109:114" ht="12.75">
      <c r="DE78" s="598">
        <v>360</v>
      </c>
      <c r="DF78" s="598" t="s">
        <v>406</v>
      </c>
      <c r="DG78" s="598">
        <v>5163000</v>
      </c>
      <c r="DH78" s="598">
        <v>2019000</v>
      </c>
      <c r="DI78" s="598">
        <v>0</v>
      </c>
      <c r="DJ78" s="598">
        <v>2019000</v>
      </c>
    </row>
    <row r="79" spans="109:114" ht="12.75">
      <c r="DE79" s="598">
        <v>364</v>
      </c>
      <c r="DF79" s="598" t="s">
        <v>407</v>
      </c>
      <c r="DG79" s="598">
        <v>397900</v>
      </c>
      <c r="DH79" s="598">
        <v>128500</v>
      </c>
      <c r="DI79" s="598">
        <v>7770</v>
      </c>
      <c r="DJ79" s="598">
        <v>137000</v>
      </c>
    </row>
    <row r="80" spans="109:114" ht="12.75">
      <c r="DE80" s="598">
        <v>368</v>
      </c>
      <c r="DF80" s="598" t="s">
        <v>408</v>
      </c>
      <c r="DG80" s="598">
        <v>93970</v>
      </c>
      <c r="DH80" s="598">
        <v>35200</v>
      </c>
      <c r="DI80" s="598">
        <v>61330</v>
      </c>
      <c r="DJ80" s="598">
        <v>89860</v>
      </c>
    </row>
    <row r="81" spans="109:114" ht="12.75">
      <c r="DE81" s="598">
        <v>376</v>
      </c>
      <c r="DF81" s="598" t="s">
        <v>409</v>
      </c>
      <c r="DG81" s="598">
        <v>9600</v>
      </c>
      <c r="DH81" s="598">
        <v>750</v>
      </c>
      <c r="DI81" s="598">
        <v>305</v>
      </c>
      <c r="DJ81" s="598">
        <v>1780</v>
      </c>
    </row>
    <row r="82" spans="109:114" ht="12.75">
      <c r="DE82" s="598">
        <v>388</v>
      </c>
      <c r="DF82" s="598" t="s">
        <v>410</v>
      </c>
      <c r="DG82" s="598">
        <v>22540</v>
      </c>
      <c r="DH82" s="598">
        <v>10820</v>
      </c>
      <c r="DI82" s="598">
        <v>0</v>
      </c>
      <c r="DJ82" s="598">
        <v>10820</v>
      </c>
    </row>
    <row r="83" spans="109:114" ht="12.75">
      <c r="DE83" s="598">
        <v>400</v>
      </c>
      <c r="DF83" s="598" t="s">
        <v>411</v>
      </c>
      <c r="DG83" s="598">
        <v>9915</v>
      </c>
      <c r="DH83" s="598">
        <v>682</v>
      </c>
      <c r="DI83" s="598">
        <v>400</v>
      </c>
      <c r="DJ83" s="598">
        <v>937</v>
      </c>
    </row>
    <row r="84" spans="109:114" ht="12.75">
      <c r="DE84" s="598">
        <v>398</v>
      </c>
      <c r="DF84" s="598" t="s">
        <v>412</v>
      </c>
      <c r="DG84" s="598">
        <v>681200</v>
      </c>
      <c r="DH84" s="598">
        <v>64349.99999999999</v>
      </c>
      <c r="DI84" s="598">
        <v>72040</v>
      </c>
      <c r="DJ84" s="598">
        <v>108400</v>
      </c>
    </row>
    <row r="85" spans="109:114" ht="12.75">
      <c r="DE85" s="598">
        <v>404</v>
      </c>
      <c r="DF85" s="598" t="s">
        <v>413</v>
      </c>
      <c r="DG85" s="598">
        <v>365600</v>
      </c>
      <c r="DH85" s="598">
        <v>20700</v>
      </c>
      <c r="DI85" s="598">
        <v>10000</v>
      </c>
      <c r="DJ85" s="598">
        <v>30700</v>
      </c>
    </row>
    <row r="86" spans="109:114" ht="12.75">
      <c r="DE86" s="598">
        <v>296</v>
      </c>
      <c r="DF86" s="598" t="s">
        <v>157</v>
      </c>
      <c r="DG86" s="598"/>
      <c r="DH86" s="598"/>
      <c r="DI86" s="598">
        <v>0</v>
      </c>
      <c r="DJ86" s="598"/>
    </row>
    <row r="87" spans="109:114" ht="12.75">
      <c r="DE87" s="598">
        <v>414</v>
      </c>
      <c r="DF87" s="598" t="s">
        <v>414</v>
      </c>
      <c r="DG87" s="598">
        <v>2156</v>
      </c>
      <c r="DH87" s="598">
        <v>0</v>
      </c>
      <c r="DI87" s="598">
        <v>0</v>
      </c>
      <c r="DJ87" s="598">
        <v>20</v>
      </c>
    </row>
    <row r="88" spans="109:114" ht="12.75">
      <c r="DE88" s="598">
        <v>417</v>
      </c>
      <c r="DF88" s="598" t="s">
        <v>415</v>
      </c>
      <c r="DG88" s="598">
        <v>106600</v>
      </c>
      <c r="DH88" s="598">
        <v>48930</v>
      </c>
      <c r="DI88" s="598">
        <v>558</v>
      </c>
      <c r="DJ88" s="598">
        <v>23620</v>
      </c>
    </row>
    <row r="89" spans="109:114" ht="12.75">
      <c r="DE89" s="598">
        <v>418</v>
      </c>
      <c r="DF89" s="598" t="s">
        <v>158</v>
      </c>
      <c r="DG89" s="598">
        <v>434300</v>
      </c>
      <c r="DH89" s="598">
        <v>190400</v>
      </c>
      <c r="DI89" s="598">
        <v>143100</v>
      </c>
      <c r="DJ89" s="598">
        <v>333500</v>
      </c>
    </row>
    <row r="90" spans="109:114" ht="12.75">
      <c r="DE90" s="598">
        <v>428</v>
      </c>
      <c r="DF90" s="598" t="s">
        <v>416</v>
      </c>
      <c r="DG90" s="598">
        <v>43010</v>
      </c>
      <c r="DH90" s="598">
        <v>16940</v>
      </c>
      <c r="DI90" s="598">
        <v>18000</v>
      </c>
      <c r="DJ90" s="598">
        <v>34940</v>
      </c>
    </row>
    <row r="91" spans="109:114" ht="12.75">
      <c r="DE91" s="598">
        <v>422</v>
      </c>
      <c r="DF91" s="598" t="s">
        <v>417</v>
      </c>
      <c r="DG91" s="598">
        <v>6907</v>
      </c>
      <c r="DH91" s="598">
        <v>4800</v>
      </c>
      <c r="DI91" s="598">
        <v>0</v>
      </c>
      <c r="DJ91" s="598">
        <v>4503</v>
      </c>
    </row>
    <row r="92" spans="109:114" ht="12.75">
      <c r="DE92" s="598">
        <v>426</v>
      </c>
      <c r="DF92" s="598" t="s">
        <v>418</v>
      </c>
      <c r="DG92" s="598">
        <v>23920</v>
      </c>
      <c r="DH92" s="598">
        <v>5230</v>
      </c>
      <c r="DI92" s="598">
        <v>0</v>
      </c>
      <c r="DJ92" s="598">
        <v>3022</v>
      </c>
    </row>
    <row r="93" spans="109:114" ht="12.75">
      <c r="DE93" s="598">
        <v>430</v>
      </c>
      <c r="DF93" s="598" t="s">
        <v>419</v>
      </c>
      <c r="DG93" s="598">
        <v>266300</v>
      </c>
      <c r="DH93" s="598">
        <v>200000</v>
      </c>
      <c r="DI93" s="598">
        <v>32000</v>
      </c>
      <c r="DJ93" s="598">
        <v>232000</v>
      </c>
    </row>
    <row r="94" spans="109:114" ht="12.75">
      <c r="DE94" s="598">
        <v>434</v>
      </c>
      <c r="DF94" s="598" t="s">
        <v>159</v>
      </c>
      <c r="DG94" s="598">
        <v>98530</v>
      </c>
      <c r="DH94" s="598">
        <v>700</v>
      </c>
      <c r="DI94" s="598">
        <v>0</v>
      </c>
      <c r="DJ94" s="598">
        <v>700</v>
      </c>
    </row>
    <row r="95" spans="109:114" ht="12.75">
      <c r="DE95" s="598">
        <v>438</v>
      </c>
      <c r="DF95" s="598" t="s">
        <v>160</v>
      </c>
      <c r="DG95" s="598"/>
      <c r="DH95" s="598"/>
      <c r="DI95" s="598"/>
      <c r="DJ95" s="598"/>
    </row>
    <row r="96" spans="109:114" ht="12.75">
      <c r="DE96" s="598">
        <v>440</v>
      </c>
      <c r="DF96" s="598" t="s">
        <v>420</v>
      </c>
      <c r="DG96" s="598">
        <v>42830</v>
      </c>
      <c r="DH96" s="598">
        <v>15460</v>
      </c>
      <c r="DI96" s="598">
        <v>9040</v>
      </c>
      <c r="DJ96" s="598">
        <v>24500</v>
      </c>
    </row>
    <row r="97" spans="109:114" ht="12.75">
      <c r="DE97" s="598">
        <v>450</v>
      </c>
      <c r="DF97" s="598" t="s">
        <v>421</v>
      </c>
      <c r="DG97" s="598">
        <v>888600</v>
      </c>
      <c r="DH97" s="598">
        <v>337000</v>
      </c>
      <c r="DI97" s="598">
        <v>0</v>
      </c>
      <c r="DJ97" s="598">
        <v>337000</v>
      </c>
    </row>
    <row r="98" spans="109:114" ht="12.75">
      <c r="DE98" s="598">
        <v>454</v>
      </c>
      <c r="DF98" s="598" t="s">
        <v>422</v>
      </c>
      <c r="DG98" s="598">
        <v>139900</v>
      </c>
      <c r="DH98" s="598">
        <v>16140</v>
      </c>
      <c r="DI98" s="598">
        <v>1000</v>
      </c>
      <c r="DJ98" s="598">
        <v>17280</v>
      </c>
    </row>
    <row r="99" spans="109:114" ht="12.75">
      <c r="DE99" s="598">
        <v>458</v>
      </c>
      <c r="DF99" s="598" t="s">
        <v>423</v>
      </c>
      <c r="DG99" s="598">
        <v>951000</v>
      </c>
      <c r="DH99" s="598">
        <v>580000</v>
      </c>
      <c r="DI99" s="598">
        <v>0</v>
      </c>
      <c r="DJ99" s="598">
        <v>580000</v>
      </c>
    </row>
    <row r="100" spans="109:114" ht="12.75">
      <c r="DE100" s="598">
        <v>462</v>
      </c>
      <c r="DF100" s="598" t="s">
        <v>424</v>
      </c>
      <c r="DG100" s="598">
        <v>591.6</v>
      </c>
      <c r="DH100" s="598">
        <v>30</v>
      </c>
      <c r="DI100" s="598">
        <v>0</v>
      </c>
      <c r="DJ100" s="598">
        <v>30</v>
      </c>
    </row>
    <row r="101" spans="109:114" ht="12.75">
      <c r="DE101" s="598">
        <v>466</v>
      </c>
      <c r="DF101" s="598" t="s">
        <v>425</v>
      </c>
      <c r="DG101" s="598">
        <v>349700</v>
      </c>
      <c r="DH101" s="598">
        <v>60000</v>
      </c>
      <c r="DI101" s="598">
        <v>60000</v>
      </c>
      <c r="DJ101" s="598">
        <v>120000</v>
      </c>
    </row>
    <row r="102" spans="109:114" ht="12.75">
      <c r="DE102" s="598">
        <v>470</v>
      </c>
      <c r="DF102" s="598" t="s">
        <v>426</v>
      </c>
      <c r="DG102" s="598">
        <v>179.2</v>
      </c>
      <c r="DH102" s="598">
        <v>50.5</v>
      </c>
      <c r="DI102" s="598">
        <v>0</v>
      </c>
      <c r="DJ102" s="598">
        <v>50.5</v>
      </c>
    </row>
    <row r="103" spans="109:114" ht="12.75">
      <c r="DE103" s="598">
        <v>584</v>
      </c>
      <c r="DF103" s="598" t="s">
        <v>161</v>
      </c>
      <c r="DG103" s="598"/>
      <c r="DH103" s="598"/>
      <c r="DI103" s="598">
        <v>0</v>
      </c>
      <c r="DJ103" s="598"/>
    </row>
    <row r="104" spans="109:114" ht="12.75">
      <c r="DE104" s="598">
        <v>474</v>
      </c>
      <c r="DF104" s="598" t="s">
        <v>427</v>
      </c>
      <c r="DG104" s="598"/>
      <c r="DH104" s="598"/>
      <c r="DI104" s="598"/>
      <c r="DJ104" s="598"/>
    </row>
    <row r="105" spans="109:114" ht="12.75">
      <c r="DE105" s="598">
        <v>478</v>
      </c>
      <c r="DF105" s="598" t="s">
        <v>428</v>
      </c>
      <c r="DG105" s="598">
        <v>94820</v>
      </c>
      <c r="DH105" s="598">
        <v>400</v>
      </c>
      <c r="DI105" s="598">
        <v>0</v>
      </c>
      <c r="DJ105" s="598">
        <v>11400</v>
      </c>
    </row>
    <row r="106" spans="109:114" ht="12.75">
      <c r="DE106" s="598">
        <v>480</v>
      </c>
      <c r="DF106" s="598" t="s">
        <v>429</v>
      </c>
      <c r="DG106" s="598">
        <v>4164</v>
      </c>
      <c r="DH106" s="598">
        <v>2751</v>
      </c>
      <c r="DI106" s="598">
        <v>0</v>
      </c>
      <c r="DJ106" s="598">
        <v>2751</v>
      </c>
    </row>
    <row r="107" spans="109:114" ht="12.75">
      <c r="DE107" s="598">
        <v>583</v>
      </c>
      <c r="DF107" s="598" t="s">
        <v>162</v>
      </c>
      <c r="DG107" s="598"/>
      <c r="DH107" s="598"/>
      <c r="DI107" s="598">
        <v>0</v>
      </c>
      <c r="DJ107" s="598"/>
    </row>
    <row r="108" spans="109:114" ht="12.75">
      <c r="DE108" s="598">
        <v>492</v>
      </c>
      <c r="DF108" s="598" t="s">
        <v>163</v>
      </c>
      <c r="DG108" s="598"/>
      <c r="DH108" s="598"/>
      <c r="DI108" s="598"/>
      <c r="DJ108" s="598"/>
    </row>
    <row r="109" spans="109:114" ht="12.75">
      <c r="DE109" s="598">
        <v>496</v>
      </c>
      <c r="DF109" s="598" t="s">
        <v>430</v>
      </c>
      <c r="DG109" s="598">
        <v>377000</v>
      </c>
      <c r="DH109" s="598">
        <v>34800</v>
      </c>
      <c r="DI109" s="598">
        <v>0</v>
      </c>
      <c r="DJ109" s="598">
        <v>34800</v>
      </c>
    </row>
    <row r="110" spans="109:114" ht="12.75">
      <c r="DE110" s="598">
        <v>499</v>
      </c>
      <c r="DF110" s="598" t="s">
        <v>164</v>
      </c>
      <c r="DG110" s="598"/>
      <c r="DH110" s="598"/>
      <c r="DI110" s="598"/>
      <c r="DJ110" s="598"/>
    </row>
    <row r="111" spans="109:114" ht="12.75">
      <c r="DE111" s="598">
        <v>504</v>
      </c>
      <c r="DF111" s="598" t="s">
        <v>431</v>
      </c>
      <c r="DG111" s="598">
        <v>154500</v>
      </c>
      <c r="DH111" s="598">
        <v>29000</v>
      </c>
      <c r="DI111" s="598">
        <v>0</v>
      </c>
      <c r="DJ111" s="598">
        <v>29000</v>
      </c>
    </row>
    <row r="112" spans="109:114" ht="12.75">
      <c r="DE112" s="598">
        <v>508</v>
      </c>
      <c r="DF112" s="598" t="s">
        <v>432</v>
      </c>
      <c r="DG112" s="598">
        <v>825000</v>
      </c>
      <c r="DH112" s="598">
        <v>100300</v>
      </c>
      <c r="DI112" s="598">
        <v>116800</v>
      </c>
      <c r="DJ112" s="598">
        <v>217100</v>
      </c>
    </row>
    <row r="113" spans="109:114" ht="12.75">
      <c r="DE113" s="598">
        <v>104</v>
      </c>
      <c r="DF113" s="598" t="s">
        <v>433</v>
      </c>
      <c r="DG113" s="598">
        <v>1415000</v>
      </c>
      <c r="DH113" s="598">
        <v>1003000</v>
      </c>
      <c r="DI113" s="598">
        <v>128199.99999999999</v>
      </c>
      <c r="DJ113" s="598">
        <v>1168000</v>
      </c>
    </row>
    <row r="114" spans="109:114" ht="12.75">
      <c r="DE114" s="598">
        <v>516</v>
      </c>
      <c r="DF114" s="598" t="s">
        <v>434</v>
      </c>
      <c r="DG114" s="598">
        <v>234900</v>
      </c>
      <c r="DH114" s="598">
        <v>6160</v>
      </c>
      <c r="DI114" s="598">
        <v>11000</v>
      </c>
      <c r="DJ114" s="598">
        <v>39910</v>
      </c>
    </row>
    <row r="115" spans="109:114" ht="12.75">
      <c r="DE115" s="598">
        <v>520</v>
      </c>
      <c r="DF115" s="598" t="s">
        <v>165</v>
      </c>
      <c r="DG115" s="598"/>
      <c r="DH115" s="598"/>
      <c r="DI115" s="598">
        <v>0</v>
      </c>
      <c r="DJ115" s="598"/>
    </row>
    <row r="116" spans="109:114" ht="12.75">
      <c r="DE116" s="598">
        <v>524</v>
      </c>
      <c r="DF116" s="598" t="s">
        <v>435</v>
      </c>
      <c r="DG116" s="598">
        <v>220800</v>
      </c>
      <c r="DH116" s="598">
        <v>198200</v>
      </c>
      <c r="DI116" s="598">
        <v>12000</v>
      </c>
      <c r="DJ116" s="598">
        <v>210200</v>
      </c>
    </row>
    <row r="117" spans="109:114" ht="12.75">
      <c r="DE117" s="598">
        <v>540</v>
      </c>
      <c r="DF117" s="598" t="s">
        <v>436</v>
      </c>
      <c r="DG117" s="598"/>
      <c r="DH117" s="598"/>
      <c r="DI117" s="598"/>
      <c r="DJ117" s="598"/>
    </row>
    <row r="118" spans="109:114" ht="12.75">
      <c r="DE118" s="598">
        <v>558</v>
      </c>
      <c r="DF118" s="598" t="s">
        <v>437</v>
      </c>
      <c r="DG118" s="598">
        <v>297200</v>
      </c>
      <c r="DH118" s="598">
        <v>156200</v>
      </c>
      <c r="DI118" s="598">
        <v>8310</v>
      </c>
      <c r="DJ118" s="598">
        <v>164500</v>
      </c>
    </row>
    <row r="119" spans="109:114" ht="12.75">
      <c r="DE119" s="598">
        <v>562</v>
      </c>
      <c r="DF119" s="598" t="s">
        <v>438</v>
      </c>
      <c r="DG119" s="598">
        <v>191300</v>
      </c>
      <c r="DH119" s="598">
        <v>3500</v>
      </c>
      <c r="DI119" s="598">
        <v>29200</v>
      </c>
      <c r="DJ119" s="598">
        <v>34050</v>
      </c>
    </row>
    <row r="120" spans="109:114" ht="12.75">
      <c r="DE120" s="598">
        <v>566</v>
      </c>
      <c r="DF120" s="598" t="s">
        <v>439</v>
      </c>
      <c r="DG120" s="598">
        <v>1062000</v>
      </c>
      <c r="DH120" s="598">
        <v>221000</v>
      </c>
      <c r="DI120" s="598">
        <v>65200</v>
      </c>
      <c r="DJ120" s="598">
        <v>286200</v>
      </c>
    </row>
    <row r="121" spans="109:114" ht="12.75">
      <c r="DE121" s="598">
        <v>570</v>
      </c>
      <c r="DF121" s="598" t="s">
        <v>525</v>
      </c>
      <c r="DG121" s="598"/>
      <c r="DH121" s="598"/>
      <c r="DI121" s="598">
        <v>0</v>
      </c>
      <c r="DJ121" s="598"/>
    </row>
    <row r="122" spans="109:114" ht="12.75">
      <c r="DE122" s="598">
        <v>275</v>
      </c>
      <c r="DF122" s="598" t="s">
        <v>526</v>
      </c>
      <c r="DG122" s="598">
        <v>2420</v>
      </c>
      <c r="DH122" s="598">
        <v>812</v>
      </c>
      <c r="DI122" s="598">
        <v>15</v>
      </c>
      <c r="DJ122" s="598">
        <v>837</v>
      </c>
    </row>
    <row r="123" spans="109:114" ht="12.75">
      <c r="DE123" s="598">
        <v>512</v>
      </c>
      <c r="DF123" s="598" t="s">
        <v>440</v>
      </c>
      <c r="DG123" s="598">
        <v>38690</v>
      </c>
      <c r="DH123" s="598">
        <v>1400</v>
      </c>
      <c r="DI123" s="598">
        <v>0</v>
      </c>
      <c r="DJ123" s="598">
        <v>1400</v>
      </c>
    </row>
    <row r="124" spans="109:114" ht="12.75">
      <c r="DE124" s="598">
        <v>586</v>
      </c>
      <c r="DF124" s="598" t="s">
        <v>441</v>
      </c>
      <c r="DG124" s="598">
        <v>393300</v>
      </c>
      <c r="DH124" s="598">
        <v>55000</v>
      </c>
      <c r="DI124" s="598">
        <v>265100</v>
      </c>
      <c r="DJ124" s="598">
        <v>246800</v>
      </c>
    </row>
    <row r="125" spans="109:114" ht="12.75">
      <c r="DE125" s="598">
        <v>585</v>
      </c>
      <c r="DF125" s="598" t="s">
        <v>166</v>
      </c>
      <c r="DG125" s="598"/>
      <c r="DH125" s="598"/>
      <c r="DI125" s="598">
        <v>0</v>
      </c>
      <c r="DJ125" s="598"/>
    </row>
    <row r="126" spans="109:114" ht="12.75">
      <c r="DE126" s="598">
        <v>591</v>
      </c>
      <c r="DF126" s="598" t="s">
        <v>442</v>
      </c>
      <c r="DG126" s="598">
        <v>220800</v>
      </c>
      <c r="DH126" s="598">
        <v>136600</v>
      </c>
      <c r="DI126" s="598">
        <v>0</v>
      </c>
      <c r="DJ126" s="598">
        <v>139300</v>
      </c>
    </row>
    <row r="127" spans="109:114" ht="12.75">
      <c r="DE127" s="598">
        <v>598</v>
      </c>
      <c r="DF127" s="598" t="s">
        <v>443</v>
      </c>
      <c r="DG127" s="598">
        <v>1454000</v>
      </c>
      <c r="DH127" s="598">
        <v>801000</v>
      </c>
      <c r="DI127" s="598">
        <v>0</v>
      </c>
      <c r="DJ127" s="598">
        <v>801000</v>
      </c>
    </row>
    <row r="128" spans="109:114" ht="12.75">
      <c r="DE128" s="598">
        <v>600</v>
      </c>
      <c r="DF128" s="598" t="s">
        <v>444</v>
      </c>
      <c r="DG128" s="598">
        <v>459600</v>
      </c>
      <c r="DH128" s="598">
        <v>117000</v>
      </c>
      <c r="DI128" s="598">
        <v>73270</v>
      </c>
      <c r="DJ128" s="598">
        <v>387800</v>
      </c>
    </row>
    <row r="129" spans="109:114" ht="12.75">
      <c r="DE129" s="598">
        <v>604</v>
      </c>
      <c r="DF129" s="598" t="s">
        <v>445</v>
      </c>
      <c r="DG129" s="598">
        <v>2234000</v>
      </c>
      <c r="DH129" s="598">
        <v>1641000</v>
      </c>
      <c r="DI129" s="598">
        <v>128800.00000000001</v>
      </c>
      <c r="DJ129" s="598">
        <v>1880000</v>
      </c>
    </row>
    <row r="130" spans="109:114" ht="12.75">
      <c r="DE130" s="598">
        <v>608</v>
      </c>
      <c r="DF130" s="598" t="s">
        <v>446</v>
      </c>
      <c r="DG130" s="598">
        <v>704400</v>
      </c>
      <c r="DH130" s="598">
        <v>479000</v>
      </c>
      <c r="DI130" s="598">
        <v>0</v>
      </c>
      <c r="DJ130" s="598">
        <v>479000</v>
      </c>
    </row>
    <row r="131" spans="109:114" ht="12.75">
      <c r="DE131" s="598">
        <v>630</v>
      </c>
      <c r="DF131" s="598" t="s">
        <v>447</v>
      </c>
      <c r="DG131" s="598">
        <v>18220</v>
      </c>
      <c r="DH131" s="598">
        <v>7100</v>
      </c>
      <c r="DI131" s="598">
        <v>0</v>
      </c>
      <c r="DJ131" s="598">
        <v>7100</v>
      </c>
    </row>
    <row r="132" spans="109:114" ht="12.75">
      <c r="DE132" s="598">
        <v>634</v>
      </c>
      <c r="DF132" s="598" t="s">
        <v>448</v>
      </c>
      <c r="DG132" s="598">
        <v>859.1</v>
      </c>
      <c r="DH132" s="598">
        <v>56</v>
      </c>
      <c r="DI132" s="598">
        <v>0</v>
      </c>
      <c r="DJ132" s="598">
        <v>58</v>
      </c>
    </row>
    <row r="133" spans="109:114" ht="12.75">
      <c r="DE133" s="598">
        <v>498</v>
      </c>
      <c r="DF133" s="598" t="s">
        <v>449</v>
      </c>
      <c r="DG133" s="598">
        <v>15230</v>
      </c>
      <c r="DH133" s="598">
        <v>1620</v>
      </c>
      <c r="DI133" s="598">
        <v>9200</v>
      </c>
      <c r="DJ133" s="598">
        <v>12270</v>
      </c>
    </row>
    <row r="134" spans="109:114" ht="12.75">
      <c r="DE134" s="598">
        <v>638</v>
      </c>
      <c r="DF134" s="598" t="s">
        <v>450</v>
      </c>
      <c r="DG134" s="598"/>
      <c r="DH134" s="598"/>
      <c r="DI134" s="598"/>
      <c r="DJ134" s="598"/>
    </row>
    <row r="135" spans="109:114" ht="12.75">
      <c r="DE135" s="598">
        <v>642</v>
      </c>
      <c r="DF135" s="598" t="s">
        <v>451</v>
      </c>
      <c r="DG135" s="598">
        <v>151900</v>
      </c>
      <c r="DH135" s="598">
        <v>42380</v>
      </c>
      <c r="DI135" s="598">
        <v>168100</v>
      </c>
      <c r="DJ135" s="598">
        <v>212000</v>
      </c>
    </row>
    <row r="136" spans="109:114" ht="12.75">
      <c r="DE136" s="598">
        <v>643</v>
      </c>
      <c r="DF136" s="598" t="s">
        <v>457</v>
      </c>
      <c r="DG136" s="598">
        <v>7865000</v>
      </c>
      <c r="DH136" s="598">
        <v>4312000</v>
      </c>
      <c r="DI136" s="598">
        <v>204600</v>
      </c>
      <c r="DJ136" s="598">
        <v>4525000</v>
      </c>
    </row>
    <row r="137" spans="109:114" ht="12.75">
      <c r="DE137" s="598">
        <v>646</v>
      </c>
      <c r="DF137" s="598" t="s">
        <v>458</v>
      </c>
      <c r="DG137" s="598">
        <v>31920</v>
      </c>
      <c r="DH137" s="598">
        <v>9500</v>
      </c>
      <c r="DI137" s="598">
        <v>3800</v>
      </c>
      <c r="DJ137" s="598">
        <v>13300</v>
      </c>
    </row>
    <row r="138" spans="109:114" ht="12.75">
      <c r="DE138" s="598">
        <v>654</v>
      </c>
      <c r="DF138" s="598" t="s">
        <v>459</v>
      </c>
      <c r="DG138" s="598"/>
      <c r="DH138" s="598"/>
      <c r="DI138" s="598"/>
      <c r="DJ138" s="598"/>
    </row>
    <row r="139" spans="109:114" ht="12.75">
      <c r="DE139" s="598">
        <v>659</v>
      </c>
      <c r="DF139" s="598" t="s">
        <v>460</v>
      </c>
      <c r="DG139" s="598">
        <v>371</v>
      </c>
      <c r="DH139" s="598">
        <v>24</v>
      </c>
      <c r="DI139" s="598">
        <v>0</v>
      </c>
      <c r="DJ139" s="598">
        <v>24</v>
      </c>
    </row>
    <row r="140" spans="109:114" ht="12.75">
      <c r="DE140" s="598">
        <v>662</v>
      </c>
      <c r="DF140" s="598" t="s">
        <v>461</v>
      </c>
      <c r="DG140" s="598">
        <v>1427</v>
      </c>
      <c r="DH140" s="598">
        <v>300</v>
      </c>
      <c r="DI140" s="598">
        <v>0</v>
      </c>
      <c r="DJ140" s="598">
        <v>300</v>
      </c>
    </row>
    <row r="141" spans="109:114" ht="12.75">
      <c r="DE141" s="598">
        <v>670</v>
      </c>
      <c r="DF141" s="598" t="s">
        <v>167</v>
      </c>
      <c r="DG141" s="598">
        <v>617.4</v>
      </c>
      <c r="DH141" s="598">
        <v>100</v>
      </c>
      <c r="DI141" s="598">
        <v>0</v>
      </c>
      <c r="DJ141" s="598">
        <v>100</v>
      </c>
    </row>
    <row r="142" spans="109:114" ht="12.75">
      <c r="DE142" s="598">
        <v>882</v>
      </c>
      <c r="DF142" s="598" t="s">
        <v>462</v>
      </c>
      <c r="DG142" s="598">
        <v>8179</v>
      </c>
      <c r="DH142" s="598"/>
      <c r="DI142" s="598">
        <v>0</v>
      </c>
      <c r="DJ142" s="598"/>
    </row>
    <row r="143" spans="109:114" ht="12.75">
      <c r="DE143" s="598">
        <v>674</v>
      </c>
      <c r="DF143" s="598" t="s">
        <v>168</v>
      </c>
      <c r="DG143" s="598"/>
      <c r="DH143" s="598"/>
      <c r="DI143" s="598"/>
      <c r="DJ143" s="598"/>
    </row>
    <row r="144" spans="109:114" ht="12.75">
      <c r="DE144" s="598">
        <v>678</v>
      </c>
      <c r="DF144" s="598" t="s">
        <v>465</v>
      </c>
      <c r="DG144" s="598">
        <v>3072</v>
      </c>
      <c r="DH144" s="598">
        <v>2180</v>
      </c>
      <c r="DI144" s="598">
        <v>0</v>
      </c>
      <c r="DJ144" s="598">
        <v>2180</v>
      </c>
    </row>
    <row r="145" spans="109:114" ht="12.75">
      <c r="DE145" s="598">
        <v>682</v>
      </c>
      <c r="DF145" s="598" t="s">
        <v>466</v>
      </c>
      <c r="DG145" s="598">
        <v>126800</v>
      </c>
      <c r="DH145" s="598">
        <v>2400</v>
      </c>
      <c r="DI145" s="598">
        <v>0</v>
      </c>
      <c r="DJ145" s="598">
        <v>2400</v>
      </c>
    </row>
    <row r="146" spans="109:114" ht="12.75">
      <c r="DE146" s="598">
        <v>686</v>
      </c>
      <c r="DF146" s="598" t="s">
        <v>467</v>
      </c>
      <c r="DG146" s="598">
        <v>134900</v>
      </c>
      <c r="DH146" s="598">
        <v>25800</v>
      </c>
      <c r="DI146" s="598">
        <v>2170</v>
      </c>
      <c r="DJ146" s="598">
        <v>38970</v>
      </c>
    </row>
    <row r="147" spans="109:114" ht="12.75">
      <c r="DE147" s="598">
        <v>891</v>
      </c>
      <c r="DF147" s="598" t="s">
        <v>169</v>
      </c>
      <c r="DG147" s="598">
        <v>49980</v>
      </c>
      <c r="DH147" s="598">
        <v>8407</v>
      </c>
      <c r="DI147" s="598"/>
      <c r="DJ147" s="598">
        <v>162200</v>
      </c>
    </row>
    <row r="148" spans="109:114" ht="12.75">
      <c r="DE148" s="598">
        <v>690</v>
      </c>
      <c r="DF148" s="598" t="s">
        <v>468</v>
      </c>
      <c r="DG148" s="598">
        <v>1072</v>
      </c>
      <c r="DH148" s="598"/>
      <c r="DI148" s="598">
        <v>0</v>
      </c>
      <c r="DJ148" s="598"/>
    </row>
    <row r="149" spans="109:114" ht="12.75">
      <c r="DE149" s="598">
        <v>694</v>
      </c>
      <c r="DF149" s="598" t="s">
        <v>469</v>
      </c>
      <c r="DG149" s="598">
        <v>182600</v>
      </c>
      <c r="DH149" s="598">
        <v>160000</v>
      </c>
      <c r="DI149" s="598">
        <v>0</v>
      </c>
      <c r="DJ149" s="598">
        <v>160000</v>
      </c>
    </row>
    <row r="150" spans="109:114" ht="12.75">
      <c r="DE150" s="598">
        <v>702</v>
      </c>
      <c r="DF150" s="598" t="s">
        <v>470</v>
      </c>
      <c r="DG150" s="598">
        <v>1795</v>
      </c>
      <c r="DH150" s="598">
        <v>600</v>
      </c>
      <c r="DI150" s="598">
        <v>0</v>
      </c>
      <c r="DJ150" s="598">
        <v>600</v>
      </c>
    </row>
    <row r="151" spans="109:114" ht="12.75">
      <c r="DE151" s="598">
        <v>703</v>
      </c>
      <c r="DF151" s="598" t="s">
        <v>471</v>
      </c>
      <c r="DG151" s="598">
        <v>40410</v>
      </c>
      <c r="DH151" s="598">
        <v>12600</v>
      </c>
      <c r="DI151" s="598">
        <v>0</v>
      </c>
      <c r="DJ151" s="598">
        <v>50100</v>
      </c>
    </row>
    <row r="152" spans="109:114" ht="12.7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2.75">
      <c r="DE154" s="598">
        <v>710</v>
      </c>
      <c r="DF154" s="598" t="s">
        <v>474</v>
      </c>
      <c r="DG154" s="598">
        <v>603400</v>
      </c>
      <c r="DH154" s="598">
        <v>44800</v>
      </c>
      <c r="DI154" s="598">
        <v>6600</v>
      </c>
      <c r="DJ154" s="598">
        <v>51350</v>
      </c>
    </row>
    <row r="155" spans="109:114" ht="12.75">
      <c r="DE155" s="598">
        <v>728</v>
      </c>
      <c r="DF155" s="598" t="s">
        <v>527</v>
      </c>
      <c r="DG155" s="598">
        <v>579900</v>
      </c>
      <c r="DH155" s="598">
        <v>26000</v>
      </c>
      <c r="DI155" s="598">
        <v>50000</v>
      </c>
      <c r="DJ155" s="598">
        <v>49500</v>
      </c>
    </row>
    <row r="156" spans="109:114" ht="12.75">
      <c r="DE156" s="598">
        <v>144</v>
      </c>
      <c r="DF156" s="598" t="s">
        <v>475</v>
      </c>
      <c r="DG156" s="598">
        <v>112300</v>
      </c>
      <c r="DH156" s="598">
        <v>52800</v>
      </c>
      <c r="DI156" s="598">
        <v>0</v>
      </c>
      <c r="DJ156" s="598">
        <v>52800</v>
      </c>
    </row>
    <row r="157" spans="109:114" ht="12.75">
      <c r="DE157" s="598">
        <v>729</v>
      </c>
      <c r="DF157" s="598" t="s">
        <v>528</v>
      </c>
      <c r="DG157" s="598">
        <v>469800</v>
      </c>
      <c r="DH157" s="598">
        <v>4000</v>
      </c>
      <c r="DI157" s="598">
        <v>99300</v>
      </c>
      <c r="DJ157" s="598">
        <v>37800</v>
      </c>
    </row>
    <row r="158" spans="109:114" ht="12.75">
      <c r="DE158" s="598">
        <v>740</v>
      </c>
      <c r="DF158" s="598" t="s">
        <v>476</v>
      </c>
      <c r="DG158" s="598">
        <v>381900</v>
      </c>
      <c r="DH158" s="598">
        <v>99000</v>
      </c>
      <c r="DI158" s="598">
        <v>0</v>
      </c>
      <c r="DJ158" s="598">
        <v>99000</v>
      </c>
    </row>
    <row r="159" spans="109:114" ht="12.75">
      <c r="DE159" s="598">
        <v>748</v>
      </c>
      <c r="DF159" s="598" t="s">
        <v>477</v>
      </c>
      <c r="DG159" s="598">
        <v>13680</v>
      </c>
      <c r="DH159" s="598">
        <v>2640</v>
      </c>
      <c r="DI159" s="598">
        <v>1870</v>
      </c>
      <c r="DJ159" s="598">
        <v>4510</v>
      </c>
    </row>
    <row r="160" spans="109:114" ht="12.75">
      <c r="DE160" s="598">
        <v>760</v>
      </c>
      <c r="DF160" s="598" t="s">
        <v>481</v>
      </c>
      <c r="DG160" s="598">
        <v>46670</v>
      </c>
      <c r="DH160" s="598">
        <v>7132</v>
      </c>
      <c r="DI160" s="598">
        <v>28520</v>
      </c>
      <c r="DJ160" s="598">
        <v>16800</v>
      </c>
    </row>
    <row r="161" spans="109:114" ht="12.75">
      <c r="DE161" s="598">
        <v>762</v>
      </c>
      <c r="DF161" s="598" t="s">
        <v>482</v>
      </c>
      <c r="DG161" s="598">
        <v>97690</v>
      </c>
      <c r="DH161" s="598">
        <v>63460</v>
      </c>
      <c r="DI161" s="598">
        <v>34190</v>
      </c>
      <c r="DJ161" s="598">
        <v>21910</v>
      </c>
    </row>
    <row r="162" spans="109:114" ht="12.75">
      <c r="DE162" s="598">
        <v>764</v>
      </c>
      <c r="DF162" s="598" t="s">
        <v>483</v>
      </c>
      <c r="DG162" s="598">
        <v>832300</v>
      </c>
      <c r="DH162" s="598">
        <v>224500</v>
      </c>
      <c r="DI162" s="598">
        <v>0</v>
      </c>
      <c r="DJ162" s="598">
        <v>438600</v>
      </c>
    </row>
    <row r="163" spans="109:114" ht="12.75">
      <c r="DE163" s="598">
        <v>807</v>
      </c>
      <c r="DF163" s="598" t="s">
        <v>170</v>
      </c>
      <c r="DG163" s="598">
        <v>15910</v>
      </c>
      <c r="DH163" s="598">
        <v>5400</v>
      </c>
      <c r="DI163" s="598">
        <v>1000</v>
      </c>
      <c r="DJ163" s="598">
        <v>6400</v>
      </c>
    </row>
    <row r="164" spans="109:114" ht="12.75">
      <c r="DE164" s="598">
        <v>626</v>
      </c>
      <c r="DF164" s="598" t="s">
        <v>171</v>
      </c>
      <c r="DG164" s="598">
        <v>22300</v>
      </c>
      <c r="DH164" s="598">
        <v>8215</v>
      </c>
      <c r="DI164" s="598">
        <v>0</v>
      </c>
      <c r="DJ164" s="598">
        <v>8215</v>
      </c>
    </row>
    <row r="165" spans="109:114" ht="12.75">
      <c r="DE165" s="598">
        <v>768</v>
      </c>
      <c r="DF165" s="598" t="s">
        <v>484</v>
      </c>
      <c r="DG165" s="598">
        <v>66330</v>
      </c>
      <c r="DH165" s="598">
        <v>11500</v>
      </c>
      <c r="DI165" s="598">
        <v>3200</v>
      </c>
      <c r="DJ165" s="598">
        <v>14700</v>
      </c>
    </row>
    <row r="166" spans="109:114" ht="12.75">
      <c r="DE166" s="599">
        <v>772</v>
      </c>
      <c r="DF166" s="599" t="s">
        <v>529</v>
      </c>
      <c r="DG166" s="599"/>
      <c r="DH166" s="599"/>
      <c r="DI166" s="599">
        <v>0</v>
      </c>
      <c r="DJ166" s="599"/>
    </row>
    <row r="167" spans="109:114" ht="12.75">
      <c r="DE167" s="599">
        <v>776</v>
      </c>
      <c r="DF167" s="599" t="s">
        <v>486</v>
      </c>
      <c r="DG167" s="599"/>
      <c r="DH167" s="599"/>
      <c r="DI167" s="599">
        <v>0</v>
      </c>
      <c r="DJ167" s="599"/>
    </row>
    <row r="168" spans="109:114" ht="12.75">
      <c r="DE168" s="598">
        <v>780</v>
      </c>
      <c r="DF168" s="598" t="s">
        <v>487</v>
      </c>
      <c r="DG168" s="598">
        <v>11290</v>
      </c>
      <c r="DH168" s="598">
        <v>3840</v>
      </c>
      <c r="DI168" s="598">
        <v>0</v>
      </c>
      <c r="DJ168" s="598">
        <v>3840</v>
      </c>
    </row>
    <row r="169" spans="109:114" ht="12.75">
      <c r="DE169" s="598">
        <v>788</v>
      </c>
      <c r="DF169" s="598" t="s">
        <v>488</v>
      </c>
      <c r="DG169" s="598">
        <v>33870</v>
      </c>
      <c r="DH169" s="598">
        <v>4195</v>
      </c>
      <c r="DI169" s="598">
        <v>320</v>
      </c>
      <c r="DJ169" s="598">
        <v>4615</v>
      </c>
    </row>
    <row r="170" spans="109:114" ht="12.75">
      <c r="DE170" s="598">
        <v>795</v>
      </c>
      <c r="DF170" s="598" t="s">
        <v>489</v>
      </c>
      <c r="DG170" s="598">
        <v>78580</v>
      </c>
      <c r="DH170" s="598">
        <v>1405</v>
      </c>
      <c r="DI170" s="598">
        <v>80200</v>
      </c>
      <c r="DJ170" s="598">
        <v>24770</v>
      </c>
    </row>
    <row r="171" spans="109:114" ht="12.75">
      <c r="DE171" s="598">
        <v>798</v>
      </c>
      <c r="DF171" s="598" t="s">
        <v>172</v>
      </c>
      <c r="DG171" s="598"/>
      <c r="DH171" s="598"/>
      <c r="DI171" s="598">
        <v>0</v>
      </c>
      <c r="DJ171" s="598"/>
    </row>
    <row r="172" spans="109:114" ht="12.75">
      <c r="DE172" s="598">
        <v>800</v>
      </c>
      <c r="DF172" s="598" t="s">
        <v>490</v>
      </c>
      <c r="DG172" s="598">
        <v>285000</v>
      </c>
      <c r="DH172" s="598">
        <v>39000</v>
      </c>
      <c r="DI172" s="598">
        <v>21100</v>
      </c>
      <c r="DJ172" s="598">
        <v>60100</v>
      </c>
    </row>
    <row r="173" spans="109:114" ht="12.75">
      <c r="DE173" s="598">
        <v>804</v>
      </c>
      <c r="DF173" s="598" t="s">
        <v>491</v>
      </c>
      <c r="DG173" s="598">
        <v>341000</v>
      </c>
      <c r="DH173" s="598">
        <v>55100</v>
      </c>
      <c r="DI173" s="598">
        <v>36130</v>
      </c>
      <c r="DJ173" s="598">
        <v>175300</v>
      </c>
    </row>
    <row r="174" spans="109:114" ht="12.75">
      <c r="DE174" s="598">
        <v>784</v>
      </c>
      <c r="DF174" s="598" t="s">
        <v>492</v>
      </c>
      <c r="DG174" s="598">
        <v>6521</v>
      </c>
      <c r="DH174" s="598">
        <v>150</v>
      </c>
      <c r="DI174" s="598">
        <v>0</v>
      </c>
      <c r="DJ174" s="598">
        <v>150</v>
      </c>
    </row>
    <row r="175" spans="109:114" ht="12.7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2.75">
      <c r="DE177" s="598">
        <v>860</v>
      </c>
      <c r="DF177" s="598" t="s">
        <v>495</v>
      </c>
      <c r="DG177" s="598">
        <v>92160</v>
      </c>
      <c r="DH177" s="598">
        <v>16340</v>
      </c>
      <c r="DI177" s="598">
        <v>102200</v>
      </c>
      <c r="DJ177" s="598">
        <v>48870</v>
      </c>
    </row>
    <row r="178" spans="109:114" ht="12.7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2.75">
      <c r="DE180" s="598">
        <v>704</v>
      </c>
      <c r="DF180" s="598" t="s">
        <v>496</v>
      </c>
      <c r="DG180" s="598">
        <v>602700</v>
      </c>
      <c r="DH180" s="598">
        <v>359400</v>
      </c>
      <c r="DI180" s="598">
        <v>524700</v>
      </c>
      <c r="DJ180" s="598">
        <v>884100</v>
      </c>
    </row>
    <row r="181" spans="109:114" ht="12.75">
      <c r="DE181" s="598">
        <v>887</v>
      </c>
      <c r="DF181" s="598" t="s">
        <v>497</v>
      </c>
      <c r="DG181" s="598">
        <v>88170</v>
      </c>
      <c r="DH181" s="598">
        <v>2100</v>
      </c>
      <c r="DI181" s="598">
        <v>0</v>
      </c>
      <c r="DJ181" s="598">
        <v>2100</v>
      </c>
    </row>
    <row r="182" spans="109:114" ht="12.75">
      <c r="DE182" s="598">
        <v>894</v>
      </c>
      <c r="DF182" s="598" t="s">
        <v>498</v>
      </c>
      <c r="DG182" s="598">
        <v>767700</v>
      </c>
      <c r="DH182" s="598">
        <v>80200</v>
      </c>
      <c r="DI182" s="598">
        <v>24600</v>
      </c>
      <c r="DJ182" s="598">
        <v>104800</v>
      </c>
    </row>
    <row r="183" spans="109:114" ht="12.75">
      <c r="DE183" s="598">
        <v>716</v>
      </c>
      <c r="DF183" s="598" t="s">
        <v>499</v>
      </c>
      <c r="DG183" s="598">
        <v>256700</v>
      </c>
      <c r="DH183" s="598">
        <v>12260</v>
      </c>
      <c r="DI183" s="598">
        <v>0</v>
      </c>
      <c r="DJ183" s="598">
        <v>20000</v>
      </c>
    </row>
    <row r="207" ht="22.5" customHeight="1"/>
  </sheetData>
  <sheetProtection formatCells="0" formatColumns="0" formatRows="0" insertColumns="0"/>
  <mergeCells count="49">
    <mergeCell ref="AK30:AN30"/>
    <mergeCell ref="D38:BD38"/>
    <mergeCell ref="D39:BD39"/>
    <mergeCell ref="D40:BD40"/>
    <mergeCell ref="D41:BD41"/>
    <mergeCell ref="D46:BD46"/>
    <mergeCell ref="D47:BD47"/>
    <mergeCell ref="D48:BD48"/>
    <mergeCell ref="D49:BD49"/>
    <mergeCell ref="D42:BD42"/>
    <mergeCell ref="D43:BD43"/>
    <mergeCell ref="D44:BD44"/>
    <mergeCell ref="D45:BD45"/>
    <mergeCell ref="C58:AO59"/>
    <mergeCell ref="D54:BD54"/>
    <mergeCell ref="D55:BD55"/>
    <mergeCell ref="D56:BD56"/>
    <mergeCell ref="D57:BD57"/>
    <mergeCell ref="D50:BD50"/>
    <mergeCell ref="D51:BD51"/>
    <mergeCell ref="D52:BD52"/>
    <mergeCell ref="D53:BD53"/>
    <mergeCell ref="DE5:DH5"/>
    <mergeCell ref="C5:AT5"/>
    <mergeCell ref="D37:BD37"/>
    <mergeCell ref="D20:BD20"/>
    <mergeCell ref="D21:BD21"/>
    <mergeCell ref="D35:BD35"/>
    <mergeCell ref="D24:BD24"/>
    <mergeCell ref="AB31:AE31"/>
    <mergeCell ref="AK31:AN31"/>
    <mergeCell ref="AT29:BC29"/>
    <mergeCell ref="AB6:AN6"/>
    <mergeCell ref="C4:BD4"/>
    <mergeCell ref="D22:BD22"/>
    <mergeCell ref="D36:BD36"/>
    <mergeCell ref="D23:BD23"/>
    <mergeCell ref="AB26:AE26"/>
    <mergeCell ref="AJ26:AN26"/>
    <mergeCell ref="AD28:AL28"/>
    <mergeCell ref="AT31:BC31"/>
    <mergeCell ref="AB30:AE30"/>
    <mergeCell ref="V29:AA29"/>
    <mergeCell ref="V31:AA31"/>
    <mergeCell ref="F26:I26"/>
    <mergeCell ref="M26:Q26"/>
    <mergeCell ref="H28:O28"/>
    <mergeCell ref="F30:I30"/>
    <mergeCell ref="M30:P30"/>
  </mergeCells>
  <conditionalFormatting sqref="F10">
    <cfRule type="cellIs" priority="95" dxfId="226" operator="lessThan" stopIfTrue="1">
      <formula>F8-F9-(0.01*(F8-F9))</formula>
    </cfRule>
  </conditionalFormatting>
  <conditionalFormatting sqref="F12">
    <cfRule type="cellIs" priority="96" dxfId="226" operator="lessThan" stopIfTrue="1">
      <formula>F10+F11-(0.01*(F10+F11))</formula>
    </cfRule>
  </conditionalFormatting>
  <conditionalFormatting sqref="F13">
    <cfRule type="cellIs" priority="97" dxfId="226" operator="lessThan" stopIfTrue="1">
      <formula>0.99*(F14+F15)</formula>
    </cfRule>
  </conditionalFormatting>
  <conditionalFormatting sqref="H10">
    <cfRule type="cellIs" priority="93" dxfId="226" operator="lessThan" stopIfTrue="1">
      <formula>H8-H9-(0.01*(H8-H9))</formula>
    </cfRule>
  </conditionalFormatting>
  <conditionalFormatting sqref="H12">
    <cfRule type="cellIs" priority="94" dxfId="226" operator="lessThan" stopIfTrue="1">
      <formula>H10+H11-(0.01*(H10+H11))</formula>
    </cfRule>
  </conditionalFormatting>
  <conditionalFormatting sqref="J10">
    <cfRule type="cellIs" priority="91" dxfId="226" operator="lessThan" stopIfTrue="1">
      <formula>J8-J9-(0.01*(J8-J9))</formula>
    </cfRule>
  </conditionalFormatting>
  <conditionalFormatting sqref="J12">
    <cfRule type="cellIs" priority="92" dxfId="226" operator="lessThan" stopIfTrue="1">
      <formula>J10+J11-(0.01*(J10+J11))</formula>
    </cfRule>
  </conditionalFormatting>
  <conditionalFormatting sqref="L10">
    <cfRule type="cellIs" priority="89" dxfId="226" operator="lessThan" stopIfTrue="1">
      <formula>L8-L9-(0.01*(L8-L9))</formula>
    </cfRule>
  </conditionalFormatting>
  <conditionalFormatting sqref="L12">
    <cfRule type="cellIs" priority="90" dxfId="226" operator="lessThan" stopIfTrue="1">
      <formula>L10+L11-(0.01*(L10+L11))</formula>
    </cfRule>
  </conditionalFormatting>
  <conditionalFormatting sqref="N10">
    <cfRule type="cellIs" priority="87" dxfId="226" operator="lessThan" stopIfTrue="1">
      <formula>N8-N9-(0.01*(N8-N9))</formula>
    </cfRule>
  </conditionalFormatting>
  <conditionalFormatting sqref="N12">
    <cfRule type="cellIs" priority="88" dxfId="226" operator="lessThan" stopIfTrue="1">
      <formula>N10+N11-(0.01*(N10+N11))</formula>
    </cfRule>
  </conditionalFormatting>
  <conditionalFormatting sqref="P10">
    <cfRule type="cellIs" priority="85" dxfId="226" operator="lessThan" stopIfTrue="1">
      <formula>P8-P9-(0.01*(P8-P9))</formula>
    </cfRule>
  </conditionalFormatting>
  <conditionalFormatting sqref="P12">
    <cfRule type="cellIs" priority="86" dxfId="226" operator="lessThan" stopIfTrue="1">
      <formula>P10+P11-(0.01*(P10+P11))</formula>
    </cfRule>
  </conditionalFormatting>
  <conditionalFormatting sqref="R10">
    <cfRule type="cellIs" priority="83" dxfId="226" operator="lessThan" stopIfTrue="1">
      <formula>R8-R9-(0.01*(R8-R9))</formula>
    </cfRule>
  </conditionalFormatting>
  <conditionalFormatting sqref="R12">
    <cfRule type="cellIs" priority="84" dxfId="226" operator="lessThan" stopIfTrue="1">
      <formula>R10+R11-(0.01*(R10+R11))</formula>
    </cfRule>
  </conditionalFormatting>
  <conditionalFormatting sqref="T10">
    <cfRule type="cellIs" priority="81" dxfId="226" operator="lessThan" stopIfTrue="1">
      <formula>T8-T9-(0.01*(T8-T9))</formula>
    </cfRule>
  </conditionalFormatting>
  <conditionalFormatting sqref="T12">
    <cfRule type="cellIs" priority="82" dxfId="226" operator="lessThan" stopIfTrue="1">
      <formula>T10+T11-(0.01*(T10+T11))</formula>
    </cfRule>
  </conditionalFormatting>
  <conditionalFormatting sqref="V10">
    <cfRule type="cellIs" priority="79" dxfId="226" operator="lessThan" stopIfTrue="1">
      <formula>V8-V9-(0.01*(V8-V9))</formula>
    </cfRule>
  </conditionalFormatting>
  <conditionalFormatting sqref="V12">
    <cfRule type="cellIs" priority="80" dxfId="226" operator="lessThan" stopIfTrue="1">
      <formula>V10+V11-(0.01*(V10+V11))</formula>
    </cfRule>
  </conditionalFormatting>
  <conditionalFormatting sqref="X10">
    <cfRule type="cellIs" priority="77" dxfId="226" operator="lessThan" stopIfTrue="1">
      <formula>X8-X9-(0.01*(X8-X9))</formula>
    </cfRule>
  </conditionalFormatting>
  <conditionalFormatting sqref="X12">
    <cfRule type="cellIs" priority="78" dxfId="226" operator="lessThan" stopIfTrue="1">
      <formula>X10+X11-(0.01*(X10+X11))</formula>
    </cfRule>
  </conditionalFormatting>
  <conditionalFormatting sqref="Z10">
    <cfRule type="cellIs" priority="75" dxfId="226" operator="lessThan" stopIfTrue="1">
      <formula>Z8-Z9-(0.01*(Z8-Z9))</formula>
    </cfRule>
  </conditionalFormatting>
  <conditionalFormatting sqref="Z12">
    <cfRule type="cellIs" priority="76" dxfId="226" operator="lessThan" stopIfTrue="1">
      <formula>Z10+Z11-(0.01*(Z10+Z11))</formula>
    </cfRule>
  </conditionalFormatting>
  <conditionalFormatting sqref="AB10">
    <cfRule type="cellIs" priority="73" dxfId="226" operator="lessThan" stopIfTrue="1">
      <formula>AB8-AB9-(0.01*(AB8-AB9))</formula>
    </cfRule>
  </conditionalFormatting>
  <conditionalFormatting sqref="AB12">
    <cfRule type="cellIs" priority="74" dxfId="226" operator="lessThan" stopIfTrue="1">
      <formula>AB10+AB11-(0.01*(AB10+AB11))</formula>
    </cfRule>
  </conditionalFormatting>
  <conditionalFormatting sqref="AD10">
    <cfRule type="cellIs" priority="71" dxfId="226" operator="lessThan" stopIfTrue="1">
      <formula>AD8-AD9-(0.01*(AD8-AD9))</formula>
    </cfRule>
  </conditionalFormatting>
  <conditionalFormatting sqref="AD12">
    <cfRule type="cellIs" priority="72" dxfId="226" operator="lessThan" stopIfTrue="1">
      <formula>AD10+AD11-(0.01*(AD10+AD11))</formula>
    </cfRule>
  </conditionalFormatting>
  <conditionalFormatting sqref="AF10">
    <cfRule type="cellIs" priority="69" dxfId="226" operator="lessThan" stopIfTrue="1">
      <formula>AF8-AF9-(0.01*(AF8-AF9))</formula>
    </cfRule>
  </conditionalFormatting>
  <conditionalFormatting sqref="AF12">
    <cfRule type="cellIs" priority="70" dxfId="226" operator="lessThan" stopIfTrue="1">
      <formula>AF10+AF11-(0.01*(AF10+AF11))</formula>
    </cfRule>
  </conditionalFormatting>
  <conditionalFormatting sqref="AH10">
    <cfRule type="cellIs" priority="67" dxfId="226" operator="lessThan" stopIfTrue="1">
      <formula>AH8-AH9-(0.01*(AH8-AH9))</formula>
    </cfRule>
  </conditionalFormatting>
  <conditionalFormatting sqref="AH12">
    <cfRule type="cellIs" priority="68" dxfId="226" operator="lessThan" stopIfTrue="1">
      <formula>AH10+AH11-(0.01*(AH10+AH11))</formula>
    </cfRule>
  </conditionalFormatting>
  <conditionalFormatting sqref="AJ10">
    <cfRule type="cellIs" priority="65" dxfId="226" operator="lessThan" stopIfTrue="1">
      <formula>AJ8-AJ9-(0.01*(AJ8-AJ9))</formula>
    </cfRule>
  </conditionalFormatting>
  <conditionalFormatting sqref="AJ12">
    <cfRule type="cellIs" priority="66" dxfId="226" operator="lessThan" stopIfTrue="1">
      <formula>AJ10+AJ11-(0.01*(AJ10+AJ11))</formula>
    </cfRule>
  </conditionalFormatting>
  <conditionalFormatting sqref="AN10">
    <cfRule type="cellIs" priority="63" dxfId="226" operator="lessThan" stopIfTrue="1">
      <formula>AN8-AN9-(0.01*(AN8-AN9))</formula>
    </cfRule>
  </conditionalFormatting>
  <conditionalFormatting sqref="AN12">
    <cfRule type="cellIs" priority="64" dxfId="226" operator="lessThan" stopIfTrue="1">
      <formula>AN10+AN11-(0.01*(AN10+AN11))</formula>
    </cfRule>
  </conditionalFormatting>
  <conditionalFormatting sqref="AP10">
    <cfRule type="cellIs" priority="61" dxfId="226" operator="lessThan" stopIfTrue="1">
      <formula>AP8-AP9-(0.01*(AP8-AP9))</formula>
    </cfRule>
  </conditionalFormatting>
  <conditionalFormatting sqref="AP12">
    <cfRule type="cellIs" priority="62" dxfId="226" operator="lessThan" stopIfTrue="1">
      <formula>AP10+AP11-(0.01*(AP10+AP11))</formula>
    </cfRule>
  </conditionalFormatting>
  <conditionalFormatting sqref="AR10">
    <cfRule type="cellIs" priority="59" dxfId="226" operator="lessThan" stopIfTrue="1">
      <formula>AR8-AR9-(0.01*(AR8-AR9))</formula>
    </cfRule>
  </conditionalFormatting>
  <conditionalFormatting sqref="AR12">
    <cfRule type="cellIs" priority="60" dxfId="226" operator="lessThan" stopIfTrue="1">
      <formula>AR10+AR11-(0.01*(AR10+AR11))</formula>
    </cfRule>
  </conditionalFormatting>
  <conditionalFormatting sqref="AT10">
    <cfRule type="cellIs" priority="57" dxfId="226" operator="lessThan" stopIfTrue="1">
      <formula>AT8-AT9-(0.01*(AT8-AT9))</formula>
    </cfRule>
  </conditionalFormatting>
  <conditionalFormatting sqref="AT12">
    <cfRule type="cellIs" priority="58" dxfId="226" operator="lessThan" stopIfTrue="1">
      <formula>AT10+AT11-(0.01*(AT10+AT11))</formula>
    </cfRule>
  </conditionalFormatting>
  <conditionalFormatting sqref="AV10">
    <cfRule type="cellIs" priority="55" dxfId="226" operator="lessThan" stopIfTrue="1">
      <formula>AV8-AV9-(0.01*(AV8-AV9))</formula>
    </cfRule>
  </conditionalFormatting>
  <conditionalFormatting sqref="AV12">
    <cfRule type="cellIs" priority="56" dxfId="226" operator="lessThan" stopIfTrue="1">
      <formula>AV10+AV11-(0.01*(AV10+AV11))</formula>
    </cfRule>
  </conditionalFormatting>
  <conditionalFormatting sqref="BB10">
    <cfRule type="cellIs" priority="53" dxfId="226" operator="lessThan" stopIfTrue="1">
      <formula>BB8-BB9-(0.01*(BB8-BB9))</formula>
    </cfRule>
  </conditionalFormatting>
  <conditionalFormatting sqref="BB12">
    <cfRule type="cellIs" priority="54" dxfId="226" operator="lessThan" stopIfTrue="1">
      <formula>BB10+BB11-(0.01*(BB10+BB11))</formula>
    </cfRule>
  </conditionalFormatting>
  <conditionalFormatting sqref="H13">
    <cfRule type="cellIs" priority="52" dxfId="226" operator="lessThan" stopIfTrue="1">
      <formula>0.99*(H14+H15)</formula>
    </cfRule>
  </conditionalFormatting>
  <conditionalFormatting sqref="J13">
    <cfRule type="cellIs" priority="51" dxfId="226" operator="lessThan" stopIfTrue="1">
      <formula>0.99*(J14+J15)</formula>
    </cfRule>
  </conditionalFormatting>
  <conditionalFormatting sqref="L13">
    <cfRule type="cellIs" priority="50" dxfId="226" operator="lessThan" stopIfTrue="1">
      <formula>0.99*(L14+L15)</formula>
    </cfRule>
  </conditionalFormatting>
  <conditionalFormatting sqref="N13">
    <cfRule type="cellIs" priority="49" dxfId="226" operator="lessThan" stopIfTrue="1">
      <formula>0.99*(N14+N15)</formula>
    </cfRule>
  </conditionalFormatting>
  <conditionalFormatting sqref="P13">
    <cfRule type="cellIs" priority="48" dxfId="226" operator="lessThan" stopIfTrue="1">
      <formula>0.99*(P14+P15)</formula>
    </cfRule>
  </conditionalFormatting>
  <conditionalFormatting sqref="R13">
    <cfRule type="cellIs" priority="47" dxfId="226" operator="lessThan" stopIfTrue="1">
      <formula>0.99*(R14+R15)</formula>
    </cfRule>
  </conditionalFormatting>
  <conditionalFormatting sqref="T13">
    <cfRule type="cellIs" priority="46" dxfId="226" operator="lessThan" stopIfTrue="1">
      <formula>0.99*(T14+T15)</formula>
    </cfRule>
  </conditionalFormatting>
  <conditionalFormatting sqref="V13">
    <cfRule type="cellIs" priority="45" dxfId="226" operator="lessThan" stopIfTrue="1">
      <formula>0.99*(V14+V15)</formula>
    </cfRule>
  </conditionalFormatting>
  <conditionalFormatting sqref="X13">
    <cfRule type="cellIs" priority="44" dxfId="226" operator="lessThan" stopIfTrue="1">
      <formula>0.99*(X14+X15)</formula>
    </cfRule>
  </conditionalFormatting>
  <conditionalFormatting sqref="Z13">
    <cfRule type="cellIs" priority="43" dxfId="226" operator="lessThan" stopIfTrue="1">
      <formula>0.99*(Z14+Z15)</formula>
    </cfRule>
  </conditionalFormatting>
  <conditionalFormatting sqref="AB13">
    <cfRule type="cellIs" priority="42" dxfId="226" operator="lessThan" stopIfTrue="1">
      <formula>0.99*(AB14+AB15)</formula>
    </cfRule>
  </conditionalFormatting>
  <conditionalFormatting sqref="AD13">
    <cfRule type="cellIs" priority="41" dxfId="226" operator="lessThan" stopIfTrue="1">
      <formula>0.99*(AD14+AD15)</formula>
    </cfRule>
  </conditionalFormatting>
  <conditionalFormatting sqref="AF13">
    <cfRule type="cellIs" priority="40" dxfId="226" operator="lessThan" stopIfTrue="1">
      <formula>0.99*(AF14+AF15)</formula>
    </cfRule>
  </conditionalFormatting>
  <conditionalFormatting sqref="AH13">
    <cfRule type="cellIs" priority="39" dxfId="226" operator="lessThan" stopIfTrue="1">
      <formula>0.99*(AH14+AH15)</formula>
    </cfRule>
  </conditionalFormatting>
  <conditionalFormatting sqref="AJ13">
    <cfRule type="cellIs" priority="38" dxfId="226" operator="lessThan" stopIfTrue="1">
      <formula>0.99*(AJ14+AJ15)</formula>
    </cfRule>
  </conditionalFormatting>
  <conditionalFormatting sqref="AR13">
    <cfRule type="cellIs" priority="35" dxfId="226" operator="lessThan" stopIfTrue="1">
      <formula>0.99*(AR14+AR15)</formula>
    </cfRule>
  </conditionalFormatting>
  <conditionalFormatting sqref="AN13">
    <cfRule type="cellIs" priority="37" dxfId="226" operator="lessThan" stopIfTrue="1">
      <formula>0.99*(AN14+AN15)</formula>
    </cfRule>
  </conditionalFormatting>
  <conditionalFormatting sqref="AP13">
    <cfRule type="cellIs" priority="36" dxfId="226" operator="lessThan" stopIfTrue="1">
      <formula>0.99*(AP14+AP15)</formula>
    </cfRule>
  </conditionalFormatting>
  <conditionalFormatting sqref="AT13">
    <cfRule type="cellIs" priority="34" dxfId="226" operator="lessThan" stopIfTrue="1">
      <formula>0.99*(AT14+AT15)</formula>
    </cfRule>
  </conditionalFormatting>
  <conditionalFormatting sqref="AV13">
    <cfRule type="cellIs" priority="33" dxfId="226" operator="lessThan" stopIfTrue="1">
      <formula>0.99*(AV14+AV15)</formula>
    </cfRule>
  </conditionalFormatting>
  <conditionalFormatting sqref="BB13">
    <cfRule type="cellIs" priority="32" dxfId="226" operator="lessThan" stopIfTrue="1">
      <formula>0.99*(BB14+BB15)</formula>
    </cfRule>
  </conditionalFormatting>
  <conditionalFormatting sqref="AL10">
    <cfRule type="cellIs" priority="30" dxfId="226" operator="lessThan" stopIfTrue="1">
      <formula>AL8-AL9-(0.01*(AL8-AL9))</formula>
    </cfRule>
  </conditionalFormatting>
  <conditionalFormatting sqref="AL12">
    <cfRule type="cellIs" priority="31" dxfId="226" operator="lessThan" stopIfTrue="1">
      <formula>AL10+AL11-(0.01*(AL10+AL11))</formula>
    </cfRule>
  </conditionalFormatting>
  <conditionalFormatting sqref="AL13">
    <cfRule type="cellIs" priority="29" dxfId="226" operator="lessThan" stopIfTrue="1">
      <formula>0.99*(AL14+AL15)</formula>
    </cfRule>
  </conditionalFormatting>
  <conditionalFormatting sqref="BI32 BI35 BI38 BI29">
    <cfRule type="cellIs" priority="26" dxfId="226"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28" dxfId="226"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27" dxfId="226" operator="equal" stopIfTrue="1">
      <formula>"&gt; 25%"</formula>
    </cfRule>
  </conditionalFormatting>
  <conditionalFormatting sqref="AX10">
    <cfRule type="cellIs" priority="24" dxfId="226" operator="lessThan" stopIfTrue="1">
      <formula>AX8-AX9-(0.01*(AX8-AX9))</formula>
    </cfRule>
  </conditionalFormatting>
  <conditionalFormatting sqref="AX12">
    <cfRule type="cellIs" priority="25" dxfId="226" operator="lessThan" stopIfTrue="1">
      <formula>AX10+AX11-(0.01*(AX10+AX11))</formula>
    </cfRule>
  </conditionalFormatting>
  <conditionalFormatting sqref="AZ10">
    <cfRule type="cellIs" priority="22" dxfId="226" operator="lessThan" stopIfTrue="1">
      <formula>AZ8-AZ9-(0.01*(AZ8-AZ9))</formula>
    </cfRule>
  </conditionalFormatting>
  <conditionalFormatting sqref="AZ12">
    <cfRule type="cellIs" priority="23" dxfId="226" operator="lessThan" stopIfTrue="1">
      <formula>AZ10+AZ11-(0.01*(AZ10+AZ11))</formula>
    </cfRule>
  </conditionalFormatting>
  <conditionalFormatting sqref="AX13">
    <cfRule type="cellIs" priority="21" dxfId="226" operator="lessThan" stopIfTrue="1">
      <formula>0.99*(AX14+AX15)</formula>
    </cfRule>
  </conditionalFormatting>
  <conditionalFormatting sqref="AZ13">
    <cfRule type="cellIs" priority="20" dxfId="226" operator="lessThan" stopIfTrue="1">
      <formula>0.99*(AZ14+AZ15)</formula>
    </cfRule>
  </conditionalFormatting>
  <conditionalFormatting sqref="CY26 DA23 DA26 CY23">
    <cfRule type="cellIs" priority="19" dxfId="226" operator="equal" stopIfTrue="1">
      <formula>"&lt;&gt;"</formula>
    </cfRule>
  </conditionalFormatting>
  <conditionalFormatting sqref="CY8:CY16 DA8:DA16">
    <cfRule type="cellIs" priority="18" dxfId="226" operator="equal" stopIfTrue="1">
      <formula>"&gt; 25%"</formula>
    </cfRule>
  </conditionalFormatting>
  <conditionalFormatting sqref="V11">
    <cfRule type="cellIs" priority="17" dxfId="226" operator="lessThan" stopIfTrue="1">
      <formula>0.99*(V12+V13)</formula>
    </cfRule>
  </conditionalFormatting>
  <conditionalFormatting sqref="X11">
    <cfRule type="cellIs" priority="16" dxfId="226" operator="lessThan" stopIfTrue="1">
      <formula>0.99*(X12+X13)</formula>
    </cfRule>
  </conditionalFormatting>
  <conditionalFormatting sqref="Z11">
    <cfRule type="cellIs" priority="15" dxfId="226" operator="lessThan" stopIfTrue="1">
      <formula>0.99*(Z12+Z13)</formula>
    </cfRule>
  </conditionalFormatting>
  <conditionalFormatting sqref="AB11">
    <cfRule type="cellIs" priority="14" dxfId="226" operator="lessThan" stopIfTrue="1">
      <formula>0.99*(AB12+AB13)</formula>
    </cfRule>
  </conditionalFormatting>
  <conditionalFormatting sqref="AF11">
    <cfRule type="cellIs" priority="12" dxfId="226" operator="lessThan" stopIfTrue="1">
      <formula>0.99*(AF12+AF13)</formula>
    </cfRule>
  </conditionalFormatting>
  <conditionalFormatting sqref="AH11">
    <cfRule type="cellIs" priority="11" dxfId="226" operator="lessThan" stopIfTrue="1">
      <formula>0.99*(AH12+AH13)</formula>
    </cfRule>
  </conditionalFormatting>
  <conditionalFormatting sqref="AJ11">
    <cfRule type="cellIs" priority="10" dxfId="226" operator="lessThan" stopIfTrue="1">
      <formula>0.99*(AJ12+AJ13)</formula>
    </cfRule>
  </conditionalFormatting>
  <conditionalFormatting sqref="AR11">
    <cfRule type="cellIs" priority="7" dxfId="226" operator="lessThan" stopIfTrue="1">
      <formula>0.99*(AR12+AR13)</formula>
    </cfRule>
  </conditionalFormatting>
  <conditionalFormatting sqref="AN11">
    <cfRule type="cellIs" priority="9" dxfId="226" operator="lessThan" stopIfTrue="1">
      <formula>0.99*(AN12+AN13)</formula>
    </cfRule>
  </conditionalFormatting>
  <conditionalFormatting sqref="AP11">
    <cfRule type="cellIs" priority="8" dxfId="226" operator="lessThan" stopIfTrue="1">
      <formula>0.99*(AP12+AP13)</formula>
    </cfRule>
  </conditionalFormatting>
  <conditionalFormatting sqref="AT11">
    <cfRule type="cellIs" priority="6" dxfId="226" operator="lessThan" stopIfTrue="1">
      <formula>0.99*(AT12+AT13)</formula>
    </cfRule>
  </conditionalFormatting>
  <conditionalFormatting sqref="AL11">
    <cfRule type="cellIs" priority="4" dxfId="226" operator="lessThan" stopIfTrue="1">
      <formula>0.99*(AL12+AL13)</formula>
    </cfRule>
  </conditionalFormatting>
  <conditionalFormatting sqref="AV11">
    <cfRule type="cellIs" priority="2" dxfId="226" operator="lessThan" stopIfTrue="1">
      <formula>0.99*(AV12+AV13)</formula>
    </cfRule>
  </conditionalFormatting>
  <conditionalFormatting sqref="AX11">
    <cfRule type="cellIs" priority="1" dxfId="226" operator="lessThan" stopIfTrue="1">
      <formula>0.99*(AX12+AX13)</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105"/>
  <sheetViews>
    <sheetView showGridLines="0" zoomScale="85" zoomScaleNormal="85" zoomScaleSheetLayoutView="40" zoomScalePageLayoutView="70" workbookViewId="0" topLeftCell="C1">
      <selection activeCell="F8" sqref="F8"/>
    </sheetView>
  </sheetViews>
  <sheetFormatPr defaultColWidth="9.33203125" defaultRowHeight="12.75"/>
  <cols>
    <col min="1" max="1" width="5" style="212" hidden="1" customWidth="1"/>
    <col min="2" max="2" width="6.332031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v>388</v>
      </c>
      <c r="C3" s="337" t="s">
        <v>311</v>
      </c>
      <c r="D3" s="582" t="s">
        <v>410</v>
      </c>
      <c r="E3" s="422"/>
      <c r="F3" s="423"/>
      <c r="G3" s="424"/>
      <c r="H3" s="425"/>
      <c r="I3" s="426"/>
      <c r="J3" s="425"/>
      <c r="K3" s="426"/>
      <c r="L3" s="425"/>
      <c r="M3" s="426"/>
      <c r="N3" s="425"/>
      <c r="O3" s="426"/>
      <c r="P3" s="425"/>
      <c r="Q3" s="426"/>
      <c r="R3" s="425"/>
      <c r="S3" s="426"/>
      <c r="T3" s="425"/>
      <c r="U3" s="426"/>
      <c r="V3" s="425"/>
      <c r="W3" s="424"/>
      <c r="X3" s="425"/>
      <c r="Y3" s="427"/>
      <c r="Z3" s="108"/>
      <c r="AA3" s="427"/>
      <c r="AB3" s="55"/>
      <c r="AC3" s="203" t="s">
        <v>644</v>
      </c>
      <c r="AD3" s="339"/>
      <c r="AE3" s="338"/>
      <c r="AF3" s="339"/>
      <c r="AG3" s="340"/>
      <c r="AH3" s="425"/>
      <c r="AI3" s="31"/>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796" t="s">
        <v>89</v>
      </c>
      <c r="D5" s="796"/>
      <c r="E5" s="797"/>
      <c r="F5" s="797"/>
      <c r="G5" s="797"/>
      <c r="H5" s="798"/>
      <c r="I5" s="798"/>
      <c r="J5" s="798"/>
      <c r="K5" s="798"/>
      <c r="L5" s="798"/>
      <c r="M5" s="798"/>
      <c r="N5" s="798"/>
      <c r="O5" s="798"/>
      <c r="P5" s="798"/>
      <c r="Q5" s="798"/>
      <c r="R5" s="798"/>
      <c r="S5" s="798"/>
      <c r="T5" s="798"/>
      <c r="U5" s="798"/>
      <c r="V5" s="798"/>
      <c r="W5" s="797"/>
      <c r="X5" s="798"/>
      <c r="Y5" s="797"/>
      <c r="Z5" s="798"/>
      <c r="AA5" s="797"/>
      <c r="AB5" s="798"/>
      <c r="AC5" s="797"/>
      <c r="AD5" s="798"/>
      <c r="AE5" s="797"/>
      <c r="AF5" s="798"/>
      <c r="AG5" s="797"/>
      <c r="AH5" s="798"/>
      <c r="AI5" s="798"/>
      <c r="AJ5" s="798"/>
      <c r="AK5" s="797"/>
      <c r="AL5" s="798"/>
      <c r="AM5" s="797"/>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c r="G8" s="588"/>
      <c r="H8" s="575"/>
      <c r="I8" s="588"/>
      <c r="J8" s="575"/>
      <c r="K8" s="588"/>
      <c r="L8" s="575"/>
      <c r="M8" s="588"/>
      <c r="N8" s="575"/>
      <c r="O8" s="588"/>
      <c r="P8" s="575"/>
      <c r="Q8" s="588"/>
      <c r="R8" s="575"/>
      <c r="S8" s="588"/>
      <c r="T8" s="575"/>
      <c r="U8" s="588"/>
      <c r="V8" s="575"/>
      <c r="W8" s="588"/>
      <c r="X8" s="575"/>
      <c r="Y8" s="588"/>
      <c r="Z8" s="575"/>
      <c r="AA8" s="588"/>
      <c r="AB8" s="575"/>
      <c r="AC8" s="588"/>
      <c r="AD8" s="575"/>
      <c r="AE8" s="588"/>
      <c r="AF8" s="575"/>
      <c r="AG8" s="588"/>
      <c r="AH8" s="575"/>
      <c r="AI8" s="588"/>
      <c r="AJ8" s="575"/>
      <c r="AK8" s="588"/>
      <c r="AL8" s="575"/>
      <c r="AM8" s="588"/>
      <c r="AN8" s="575"/>
      <c r="AO8" s="588"/>
      <c r="AP8" s="575"/>
      <c r="AQ8" s="588"/>
      <c r="AR8" s="575"/>
      <c r="AS8" s="588"/>
      <c r="AT8" s="575">
        <v>1150</v>
      </c>
      <c r="AU8" s="588"/>
      <c r="AV8" s="575">
        <v>620</v>
      </c>
      <c r="AW8" s="588"/>
      <c r="AX8" s="575">
        <v>1210</v>
      </c>
      <c r="AY8" s="588"/>
      <c r="AZ8" s="575"/>
      <c r="BA8" s="588"/>
      <c r="BB8" s="673"/>
      <c r="BC8" s="368"/>
      <c r="BD8" s="642">
        <v>1</v>
      </c>
      <c r="BE8" s="293" t="s">
        <v>123</v>
      </c>
      <c r="BF8" s="97" t="s">
        <v>81</v>
      </c>
      <c r="BG8" s="80" t="s">
        <v>85</v>
      </c>
      <c r="BH8" s="606"/>
      <c r="BI8" s="80" t="str">
        <f>IF(OR(ISBLANK(F8),ISBLANK(H8)),"N/A",IF(ABS((H8-F8)/F8)&gt;1,"&gt; 100%","ok"))</f>
        <v>N/A</v>
      </c>
      <c r="BJ8" s="606"/>
      <c r="BK8" s="80" t="str">
        <f>IF(OR(ISBLANK(H8),ISBLANK(J8)),"N/A",IF(ABS((J8-H8)/H8)&gt;0.25,"&gt; 25%","ok"))</f>
        <v>N/A</v>
      </c>
      <c r="BL8" s="80"/>
      <c r="BM8" s="80" t="str">
        <f>IF(OR(ISBLANK(J8),ISBLANK(L8)),"N/A",IF(ABS((L8-J8)/J8)&gt;0.25,"&gt; 25%","ok"))</f>
        <v>N/A</v>
      </c>
      <c r="BN8" s="80"/>
      <c r="BO8" s="80" t="str">
        <f>IF(OR(ISBLANK(L8),ISBLANK(N8)),"N/A",IF(ABS((N8-L8)/L8)&gt;0.25,"&gt; 25%","ok"))</f>
        <v>N/A</v>
      </c>
      <c r="BP8" s="80"/>
      <c r="BQ8" s="80" t="str">
        <f>IF(OR(ISBLANK(N8),ISBLANK(P8)),"N/A",IF(ABS((P8-N8)/N8)&gt;0.25,"&gt; 25%","ok"))</f>
        <v>N/A</v>
      </c>
      <c r="BR8" s="80"/>
      <c r="BS8" s="80" t="str">
        <f>IF(OR(ISBLANK(P8),ISBLANK(R8)),"N/A",IF(ABS((R8-P8)/P8)&gt;0.25,"&gt; 25%","ok"))</f>
        <v>N/A</v>
      </c>
      <c r="BT8" s="80"/>
      <c r="BU8" s="80" t="str">
        <f>IF(OR(ISBLANK(R8),ISBLANK(T8)),"N/A",IF(ABS((T8-R8)/R8)&gt;0.25,"&gt; 25%","ok"))</f>
        <v>N/A</v>
      </c>
      <c r="BV8" s="80"/>
      <c r="BW8" s="80" t="str">
        <f>IF(OR(ISBLANK(T8),ISBLANK(V8)),"N/A",IF(ABS((V8-T8)/T8)&gt;0.25,"&gt; 25%","ok"))</f>
        <v>N/A</v>
      </c>
      <c r="BX8" s="80"/>
      <c r="BY8" s="80" t="str">
        <f>IF(OR(ISBLANK(V8),ISBLANK(X8)),"N/A",IF(ABS((X8-V8)/V8)&gt;0.25,"&gt; 25%","ok"))</f>
        <v>N/A</v>
      </c>
      <c r="BZ8" s="80"/>
      <c r="CA8" s="80" t="str">
        <f>IF(OR(ISBLANK(X8),ISBLANK(Z8)),"N/A",IF(ABS((Z8-X8)/X8)&gt;0.25,"&gt; 25%","ok"))</f>
        <v>N/A</v>
      </c>
      <c r="CB8" s="80"/>
      <c r="CC8" s="80" t="str">
        <f>IF(OR(ISBLANK(Z8),ISBLANK(AB8)),"N/A",IF(ABS((AB8-Z8)/Z8)&gt;0.25,"&gt; 25%","ok"))</f>
        <v>N/A</v>
      </c>
      <c r="CD8" s="80"/>
      <c r="CE8" s="80" t="str">
        <f>IF(OR(ISBLANK(AB8),ISBLANK(AD8)),"N/A",IF(ABS((AD8-AB8)/AB8)&gt;0.25,"&gt; 25%","ok"))</f>
        <v>N/A</v>
      </c>
      <c r="CF8" s="80"/>
      <c r="CG8" s="80" t="str">
        <f>IF(OR(ISBLANK(AD8),ISBLANK(AF8)),"N/A",IF(ABS((AF8-AD8)/AD8)&gt;0.25,"&gt; 25%","ok"))</f>
        <v>N/A</v>
      </c>
      <c r="CH8" s="80"/>
      <c r="CI8" s="80" t="str">
        <f>IF(OR(ISBLANK(AF8),ISBLANK(AH8)),"N/A",IF(ABS((AH8-AF8)/AF8)&gt;0.25,"&gt; 25%","ok"))</f>
        <v>N/A</v>
      </c>
      <c r="CJ8" s="80"/>
      <c r="CK8" s="80" t="str">
        <f>IF(OR(ISBLANK(AH8),ISBLANK(AJ8)),"N/A",IF(ABS((AJ8-AH8)/AH8)&gt;0.25,"&gt; 25%","ok"))</f>
        <v>N/A</v>
      </c>
      <c r="CL8" s="80"/>
      <c r="CM8" s="80" t="str">
        <f>IF(OR(ISBLANK(AJ8),ISBLANK(AL8)),"N/A",IF(ABS((AL8-AJ8)/AJ8)&gt;0.25,"&gt; 25%","ok"))</f>
        <v>N/A</v>
      </c>
      <c r="CN8" s="80"/>
      <c r="CO8" s="80" t="str">
        <f>IF(OR(ISBLANK(AL8),ISBLANK(AN8)),"N/A",IF(ABS((AN8-AL8)/AL8)&gt;0.25,"&gt; 25%","ok"))</f>
        <v>N/A</v>
      </c>
      <c r="CP8" s="80"/>
      <c r="CQ8" s="80" t="str">
        <f>IF(OR(ISBLANK(AN8),ISBLANK(AP8)),"N/A",IF(ABS((AP8-AN8)/AN8)&gt;0.25,"&gt; 25%","ok"))</f>
        <v>N/A</v>
      </c>
      <c r="CR8" s="80"/>
      <c r="CS8" s="80" t="str">
        <f>IF(OR(ISBLANK(AP8),ISBLANK(AR8)),"N/A",IF(ABS((AR8-AP8)/AP8)&gt;0.25,"&gt; 25%","ok"))</f>
        <v>N/A</v>
      </c>
      <c r="CT8" s="80"/>
      <c r="CU8" s="80" t="str">
        <f>IF(OR(ISBLANK(AR8),ISBLANK(AT8)),"N/A",IF(ABS((AT8-AR8)/AR8)&gt;0.25,"&gt; 25%","ok"))</f>
        <v>N/A</v>
      </c>
      <c r="CV8" s="80"/>
      <c r="CW8" s="80" t="str">
        <f>IF(OR(ISBLANK(AT8),ISBLANK(AV8)),"N/A",IF(ABS((AV8-AT8)/AT8)&gt;0.25,"&gt; 25%","ok"))</f>
        <v>&gt; 25%</v>
      </c>
      <c r="CX8" s="80"/>
      <c r="CY8" s="80" t="str">
        <f>IF(OR(ISBLANK(AV8),ISBLANK(AX8)),"N/A",IF(ABS((AX8-AV8)/AV8)&gt;0.25,"&gt; 25%","ok"))</f>
        <v>&gt; 25%</v>
      </c>
      <c r="CZ8" s="80"/>
      <c r="DA8" s="80" t="str">
        <f>IF(OR(ISBLANK(AX8),ISBLANK(AZ8)),"N/A",IF(ABS((AZ8-AX8)/AX8)&gt;0.25,"&gt; 25%","ok"))</f>
        <v>N/A</v>
      </c>
    </row>
    <row r="9" spans="1:105" s="367" customFormat="1" ht="15" customHeight="1">
      <c r="A9" s="230"/>
      <c r="B9" s="365">
        <v>25</v>
      </c>
      <c r="C9" s="255">
        <v>2</v>
      </c>
      <c r="D9" s="366" t="s">
        <v>124</v>
      </c>
      <c r="E9" s="255" t="s">
        <v>313</v>
      </c>
      <c r="F9" s="575"/>
      <c r="G9" s="588"/>
      <c r="H9" s="575"/>
      <c r="I9" s="588"/>
      <c r="J9" s="575"/>
      <c r="K9" s="588"/>
      <c r="L9" s="575"/>
      <c r="M9" s="588"/>
      <c r="N9" s="575"/>
      <c r="O9" s="588"/>
      <c r="P9" s="575"/>
      <c r="Q9" s="588"/>
      <c r="R9" s="575"/>
      <c r="S9" s="588"/>
      <c r="T9" s="575"/>
      <c r="U9" s="588"/>
      <c r="V9" s="575"/>
      <c r="W9" s="588"/>
      <c r="X9" s="575"/>
      <c r="Y9" s="588"/>
      <c r="Z9" s="575"/>
      <c r="AA9" s="588"/>
      <c r="AB9" s="575"/>
      <c r="AC9" s="588"/>
      <c r="AD9" s="575"/>
      <c r="AE9" s="588"/>
      <c r="AF9" s="575"/>
      <c r="AG9" s="588"/>
      <c r="AH9" s="575"/>
      <c r="AI9" s="588"/>
      <c r="AJ9" s="575"/>
      <c r="AK9" s="588"/>
      <c r="AL9" s="575"/>
      <c r="AM9" s="588"/>
      <c r="AN9" s="575"/>
      <c r="AO9" s="588"/>
      <c r="AP9" s="575"/>
      <c r="AQ9" s="588"/>
      <c r="AR9" s="575"/>
      <c r="AS9" s="588"/>
      <c r="AT9" s="575">
        <v>400</v>
      </c>
      <c r="AU9" s="588"/>
      <c r="AV9" s="575">
        <v>210</v>
      </c>
      <c r="AW9" s="588"/>
      <c r="AX9" s="575">
        <v>140</v>
      </c>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&gt; 25%</v>
      </c>
      <c r="CX9" s="80"/>
      <c r="CY9" s="80" t="str">
        <f>IF(OR(ISBLANK(AV9),ISBLANK(AX9)),"N/A",IF(ABS((AX9-AV9)/AV9)&gt;0.25,"&gt; 25%","ok"))</f>
        <v>&gt; 25%</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f>910.2+292.8</f>
        <v>1203</v>
      </c>
      <c r="AM10" s="584"/>
      <c r="AN10" s="601"/>
      <c r="AO10" s="584"/>
      <c r="AP10" s="601"/>
      <c r="AQ10" s="584"/>
      <c r="AR10" s="601"/>
      <c r="AS10" s="584"/>
      <c r="AT10" s="601">
        <f>+AT9+AT8</f>
        <v>1550</v>
      </c>
      <c r="AU10" s="584"/>
      <c r="AV10" s="601">
        <f>+AV9+AV8</f>
        <v>830</v>
      </c>
      <c r="AW10" s="584"/>
      <c r="AX10" s="601">
        <f>+AX9+AX8</f>
        <v>1350</v>
      </c>
      <c r="AY10" s="584"/>
      <c r="AZ10" s="601"/>
      <c r="BA10" s="584"/>
      <c r="BB10" s="674"/>
      <c r="BC10" s="375"/>
      <c r="BD10" s="639">
        <v>3</v>
      </c>
      <c r="BE10" s="377" t="s">
        <v>125</v>
      </c>
      <c r="BF10" s="82" t="s">
        <v>81</v>
      </c>
      <c r="BG10" s="106" t="s">
        <v>85</v>
      </c>
      <c r="BH10" s="615"/>
      <c r="BI10" s="80" t="str">
        <f aca="true" t="shared" si="2" ref="BI10:BI38">IF(OR(ISBLANK(F10),ISBLANK(H10)),"N/A",IF(ABS((H10-F10)/F10)&gt;1,"&gt; 100%","ok"))</f>
        <v>N/A</v>
      </c>
      <c r="BJ10" s="606"/>
      <c r="BK10" s="80" t="str">
        <f>IF(OR(ISBLANK(H10),ISBLANK(J10)),"N/A",IF(ABS((J10-H10)/H10)&gt;0.25,"&gt; 25%","ok"))</f>
        <v>N/A</v>
      </c>
      <c r="BL10" s="80"/>
      <c r="BM10" s="80" t="str">
        <f>IF(OR(ISBLANK(J10),ISBLANK(L10)),"N/A",IF(ABS((L10-J10)/J10)&gt;0.25,"&gt; 25%","ok"))</f>
        <v>N/A</v>
      </c>
      <c r="BN10" s="80"/>
      <c r="BO10" s="80" t="str">
        <f>IF(OR(ISBLANK(L10),ISBLANK(N10)),"N/A",IF(ABS((N10-L10)/L10)&gt;0.25,"&gt; 25%","ok"))</f>
        <v>N/A</v>
      </c>
      <c r="BP10" s="80"/>
      <c r="BQ10" s="80" t="str">
        <f>IF(OR(ISBLANK(N10),ISBLANK(P10)),"N/A",IF(ABS((P10-N10)/N10)&gt;0.25,"&gt; 25%","ok"))</f>
        <v>N/A</v>
      </c>
      <c r="BR10" s="80"/>
      <c r="BS10" s="80" t="str">
        <f aca="true" t="shared" si="3" ref="BS10:BS38">IF(OR(ISBLANK(P10),ISBLANK(R10)),"N/A",IF(ABS((R10-P10)/P10)&gt;0.25,"&gt; 25%","ok"))</f>
        <v>N/A</v>
      </c>
      <c r="BT10" s="80"/>
      <c r="BU10" s="80" t="str">
        <f aca="true" t="shared" si="4" ref="BU10:BU38">IF(OR(ISBLANK(R10),ISBLANK(T10)),"N/A",IF(ABS((T10-R10)/R10)&gt;0.25,"&gt; 25%","ok"))</f>
        <v>N/A</v>
      </c>
      <c r="BV10" s="80"/>
      <c r="BW10" s="80" t="str">
        <f aca="true" t="shared" si="5" ref="BW10:BW38">IF(OR(ISBLANK(T10),ISBLANK(V10)),"N/A",IF(ABS((V10-T10)/T10)&gt;0.25,"&gt; 25%","ok"))</f>
        <v>N/A</v>
      </c>
      <c r="BX10" s="80"/>
      <c r="BY10" s="80" t="str">
        <f aca="true" t="shared" si="6" ref="BY10:BY38">IF(OR(ISBLANK(V10),ISBLANK(X10)),"N/A",IF(ABS((X10-V10)/V10)&gt;0.25,"&gt; 25%","ok"))</f>
        <v>N/A</v>
      </c>
      <c r="BZ10" s="80"/>
      <c r="CA10" s="80" t="str">
        <f aca="true" t="shared" si="7" ref="CA10:CA38">IF(OR(ISBLANK(X10),ISBLANK(Z10)),"N/A",IF(ABS((Z10-X10)/X10)&gt;0.25,"&gt; 25%","ok"))</f>
        <v>N/A</v>
      </c>
      <c r="CB10" s="80"/>
      <c r="CC10" s="80" t="str">
        <f aca="true" t="shared" si="8" ref="CC10:CC38">IF(OR(ISBLANK(Z10),ISBLANK(AB10)),"N/A",IF(ABS((AB10-Z10)/Z10)&gt;0.25,"&gt; 25%","ok"))</f>
        <v>N/A</v>
      </c>
      <c r="CD10" s="80"/>
      <c r="CE10" s="80" t="str">
        <f aca="true" t="shared" si="9" ref="CE10:CE38">IF(OR(ISBLANK(AB10),ISBLANK(AD10)),"N/A",IF(ABS((AD10-AB10)/AB10)&gt;0.25,"&gt; 25%","ok"))</f>
        <v>N/A</v>
      </c>
      <c r="CF10" s="80"/>
      <c r="CG10" s="80" t="str">
        <f aca="true" t="shared" si="10" ref="CG10:CG38">IF(OR(ISBLANK(AD10),ISBLANK(AF10)),"N/A",IF(ABS((AF10-AD10)/AD10)&gt;0.25,"&gt; 25%","ok"))</f>
        <v>N/A</v>
      </c>
      <c r="CH10" s="80"/>
      <c r="CI10" s="80" t="str">
        <f aca="true" t="shared" si="11" ref="CI10:CI38">IF(OR(ISBLANK(AF10),ISBLANK(AH10)),"N/A",IF(ABS((AH10-AF10)/AF10)&gt;0.25,"&gt; 25%","ok"))</f>
        <v>N/A</v>
      </c>
      <c r="CJ10" s="80"/>
      <c r="CK10" s="80" t="str">
        <f aca="true" t="shared" si="12" ref="CK10:CK38">IF(OR(ISBLANK(AH10),ISBLANK(AJ10)),"N/A",IF(ABS((AJ10-AH10)/AH10)&gt;0.25,"&gt; 25%","ok"))</f>
        <v>N/A</v>
      </c>
      <c r="CL10" s="80"/>
      <c r="CM10" s="80" t="str">
        <f aca="true" t="shared" si="13" ref="CM10:CM38">IF(OR(ISBLANK(AJ10),ISBLANK(AL10)),"N/A",IF(ABS((AL10-AJ10)/AJ10)&gt;0.25,"&gt; 25%","ok"))</f>
        <v>N/A</v>
      </c>
      <c r="CN10" s="80"/>
      <c r="CO10" s="80" t="str">
        <f aca="true" t="shared" si="14" ref="CO10:CO38">IF(OR(ISBLANK(AL10),ISBLANK(AN10)),"N/A",IF(ABS((AN10-AL10)/AL10)&gt;0.25,"&gt; 25%","ok"))</f>
        <v>N/A</v>
      </c>
      <c r="CP10" s="80"/>
      <c r="CQ10" s="80" t="str">
        <f t="shared" si="0"/>
        <v>N/A</v>
      </c>
      <c r="CR10" s="80"/>
      <c r="CS10" s="80" t="str">
        <f aca="true" t="shared" si="15" ref="CS10:CS38">IF(OR(ISBLANK(AP10),ISBLANK(AR10)),"N/A",IF(ABS((AR10-AP10)/AP10)&gt;0.25,"&gt; 25%","ok"))</f>
        <v>N/A</v>
      </c>
      <c r="CT10" s="80"/>
      <c r="CU10" s="80" t="str">
        <f aca="true" t="shared" si="16" ref="CU10:CU38">IF(OR(ISBLANK(AR10),ISBLANK(AT10)),"N/A",IF(ABS((AT10-AR10)/AR10)&gt;0.25,"&gt; 25%","ok"))</f>
        <v>N/A</v>
      </c>
      <c r="CV10" s="80"/>
      <c r="CW10" s="80" t="str">
        <f>IF(OR(ISBLANK(AT10),ISBLANK(AV10)),"N/A",IF(ABS((AV10-AT10)/AT10)&gt;0.25,"&gt; 25%","ok"))</f>
        <v>&gt; 25%</v>
      </c>
      <c r="CX10" s="80"/>
      <c r="CY10" s="80" t="str">
        <f>IF(OR(ISBLANK(AV10),ISBLANK(AX10)),"N/A",IF(ABS((AX10-AV10)/AV10)&gt;0.25,"&gt; 25%","ok"))</f>
        <v>&gt; 25%</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v>300.5</v>
      </c>
      <c r="Q12" s="588" t="s">
        <v>635</v>
      </c>
      <c r="R12" s="575">
        <v>278</v>
      </c>
      <c r="S12" s="588"/>
      <c r="T12" s="575">
        <v>278</v>
      </c>
      <c r="U12" s="588" t="s">
        <v>635</v>
      </c>
      <c r="V12" s="575">
        <v>277</v>
      </c>
      <c r="W12" s="588" t="s">
        <v>635</v>
      </c>
      <c r="X12" s="575">
        <v>293</v>
      </c>
      <c r="Y12" s="588" t="s">
        <v>635</v>
      </c>
      <c r="Z12" s="575">
        <v>280</v>
      </c>
      <c r="AA12" s="588" t="s">
        <v>635</v>
      </c>
      <c r="AB12" s="575">
        <v>296</v>
      </c>
      <c r="AC12" s="588" t="s">
        <v>635</v>
      </c>
      <c r="AD12" s="575">
        <v>294.1</v>
      </c>
      <c r="AE12" s="588" t="s">
        <v>635</v>
      </c>
      <c r="AF12" s="575">
        <v>291.9</v>
      </c>
      <c r="AG12" s="588" t="s">
        <v>635</v>
      </c>
      <c r="AH12" s="575">
        <v>291.8</v>
      </c>
      <c r="AI12" s="588" t="s">
        <v>635</v>
      </c>
      <c r="AJ12" s="575">
        <v>299.2</v>
      </c>
      <c r="AK12" s="588" t="s">
        <v>635</v>
      </c>
      <c r="AL12" s="575">
        <v>283.7</v>
      </c>
      <c r="AM12" s="588" t="s">
        <v>635</v>
      </c>
      <c r="AN12" s="575">
        <v>302.8</v>
      </c>
      <c r="AO12" s="588" t="s">
        <v>635</v>
      </c>
      <c r="AP12" s="575">
        <v>302.1</v>
      </c>
      <c r="AQ12" s="588" t="s">
        <v>635</v>
      </c>
      <c r="AR12" s="575">
        <v>297.8</v>
      </c>
      <c r="AS12" s="588"/>
      <c r="AT12" s="602">
        <v>295.9</v>
      </c>
      <c r="AU12" s="585" t="s">
        <v>635</v>
      </c>
      <c r="AV12" s="602">
        <v>292.3</v>
      </c>
      <c r="AW12" s="585" t="s">
        <v>635</v>
      </c>
      <c r="AX12" s="602">
        <v>316.8</v>
      </c>
      <c r="AY12" s="585" t="s">
        <v>635</v>
      </c>
      <c r="AZ12" s="602">
        <v>321.6</v>
      </c>
      <c r="BA12" s="585" t="s">
        <v>635</v>
      </c>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ok</v>
      </c>
      <c r="BT12" s="80"/>
      <c r="BU12" s="80" t="str">
        <f t="shared" si="4"/>
        <v>ok</v>
      </c>
      <c r="BV12" s="80"/>
      <c r="BW12" s="80" t="str">
        <f t="shared" si="5"/>
        <v>ok</v>
      </c>
      <c r="BX12" s="80"/>
      <c r="BY12" s="80" t="str">
        <f t="shared" si="6"/>
        <v>ok</v>
      </c>
      <c r="BZ12" s="80"/>
      <c r="CA12" s="80" t="str">
        <f t="shared" si="7"/>
        <v>ok</v>
      </c>
      <c r="CB12" s="80"/>
      <c r="CC12" s="80" t="str">
        <f t="shared" si="8"/>
        <v>ok</v>
      </c>
      <c r="CD12" s="80"/>
      <c r="CE12" s="80" t="str">
        <f t="shared" si="9"/>
        <v>ok</v>
      </c>
      <c r="CF12" s="80"/>
      <c r="CG12" s="80" t="str">
        <f t="shared" si="10"/>
        <v>ok</v>
      </c>
      <c r="CH12" s="80"/>
      <c r="CI12" s="80" t="str">
        <f t="shared" si="11"/>
        <v>ok</v>
      </c>
      <c r="CJ12" s="80"/>
      <c r="CK12" s="80" t="str">
        <f t="shared" si="12"/>
        <v>ok</v>
      </c>
      <c r="CL12" s="80"/>
      <c r="CM12" s="80" t="str">
        <f t="shared" si="13"/>
        <v>ok</v>
      </c>
      <c r="CN12" s="80"/>
      <c r="CO12" s="80" t="str">
        <f t="shared" si="14"/>
        <v>ok</v>
      </c>
      <c r="CP12" s="80"/>
      <c r="CQ12" s="80" t="str">
        <f t="shared" si="0"/>
        <v>ok</v>
      </c>
      <c r="CR12" s="80"/>
      <c r="CS12" s="80" t="str">
        <f t="shared" si="15"/>
        <v>ok</v>
      </c>
      <c r="CT12" s="80"/>
      <c r="CU12" s="80" t="str">
        <f t="shared" si="16"/>
        <v>ok</v>
      </c>
      <c r="CV12" s="80"/>
      <c r="CW12" s="80" t="str">
        <f aca="true" t="shared" si="21" ref="CW12:CW28">IF(OR(ISBLANK(AT12),ISBLANK(AV12)),"N/A",IF(ABS((AV12-AT12)/AT12)&gt;0.25,"&gt; 25%","ok"))</f>
        <v>ok</v>
      </c>
      <c r="CX12" s="80"/>
      <c r="CY12" s="80" t="str">
        <f aca="true" t="shared" si="22" ref="CY12:CY28">IF(OR(ISBLANK(AV12),ISBLANK(AX12)),"N/A",IF(ABS((AX12-AV12)/AV12)&gt;0.25,"&gt; 25%","ok"))</f>
        <v>ok</v>
      </c>
      <c r="CZ12" s="80"/>
      <c r="DA12" s="80" t="str">
        <f t="shared" si="1"/>
        <v>ok</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v>236</v>
      </c>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v>93</v>
      </c>
      <c r="Y14" s="588" t="s">
        <v>636</v>
      </c>
      <c r="Z14" s="575">
        <v>119</v>
      </c>
      <c r="AA14" s="588" t="s">
        <v>636</v>
      </c>
      <c r="AB14" s="575">
        <v>111</v>
      </c>
      <c r="AC14" s="588" t="s">
        <v>636</v>
      </c>
      <c r="AD14" s="575">
        <v>109</v>
      </c>
      <c r="AE14" s="588" t="s">
        <v>636</v>
      </c>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&gt; 25%</v>
      </c>
      <c r="CB14" s="80"/>
      <c r="CC14" s="80" t="str">
        <f t="shared" si="8"/>
        <v>ok</v>
      </c>
      <c r="CD14" s="80"/>
      <c r="CE14" s="80" t="str">
        <f t="shared" si="9"/>
        <v>ok</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646</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v>1747</v>
      </c>
      <c r="AW22" s="588" t="s">
        <v>637</v>
      </c>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v>0</v>
      </c>
      <c r="G24" s="588"/>
      <c r="H24" s="575">
        <v>0</v>
      </c>
      <c r="I24" s="588"/>
      <c r="J24" s="575">
        <v>0</v>
      </c>
      <c r="K24" s="588"/>
      <c r="L24" s="575">
        <v>0</v>
      </c>
      <c r="M24" s="588"/>
      <c r="N24" s="575">
        <v>0</v>
      </c>
      <c r="O24" s="588"/>
      <c r="P24" s="575">
        <v>0</v>
      </c>
      <c r="Q24" s="588"/>
      <c r="R24" s="575">
        <v>0</v>
      </c>
      <c r="S24" s="588"/>
      <c r="T24" s="575">
        <v>0</v>
      </c>
      <c r="U24" s="588"/>
      <c r="V24" s="575">
        <v>0</v>
      </c>
      <c r="W24" s="588"/>
      <c r="X24" s="575">
        <v>0</v>
      </c>
      <c r="Y24" s="588"/>
      <c r="Z24" s="575">
        <v>0</v>
      </c>
      <c r="AA24" s="588"/>
      <c r="AB24" s="575">
        <v>0</v>
      </c>
      <c r="AC24" s="588"/>
      <c r="AD24" s="575">
        <v>0</v>
      </c>
      <c r="AE24" s="588"/>
      <c r="AF24" s="575">
        <v>0</v>
      </c>
      <c r="AG24" s="588"/>
      <c r="AH24" s="575">
        <v>0</v>
      </c>
      <c r="AI24" s="588"/>
      <c r="AJ24" s="575">
        <v>0</v>
      </c>
      <c r="AK24" s="588"/>
      <c r="AL24" s="575">
        <v>0</v>
      </c>
      <c r="AM24" s="588"/>
      <c r="AN24" s="575">
        <v>0</v>
      </c>
      <c r="AO24" s="588"/>
      <c r="AP24" s="575">
        <v>0</v>
      </c>
      <c r="AQ24" s="588"/>
      <c r="AR24" s="575"/>
      <c r="AS24" s="588"/>
      <c r="AT24" s="575"/>
      <c r="AU24" s="588"/>
      <c r="AV24" s="575"/>
      <c r="AW24" s="588"/>
      <c r="AX24" s="575"/>
      <c r="AY24" s="588"/>
      <c r="AZ24" s="575"/>
      <c r="BA24" s="588"/>
      <c r="BB24" s="502"/>
      <c r="BC24" s="215"/>
      <c r="BD24" s="594">
        <v>16</v>
      </c>
      <c r="BE24" s="293" t="s">
        <v>513</v>
      </c>
      <c r="BF24" s="82" t="s">
        <v>81</v>
      </c>
      <c r="BG24" s="80" t="s">
        <v>85</v>
      </c>
      <c r="BH24" s="606"/>
      <c r="BI24" s="80" t="e">
        <f t="shared" si="2"/>
        <v>#DIV/0!</v>
      </c>
      <c r="BJ24" s="606"/>
      <c r="BK24" s="80" t="e">
        <f t="shared" si="17"/>
        <v>#DIV/0!</v>
      </c>
      <c r="BL24" s="80"/>
      <c r="BM24" s="80" t="e">
        <f>IF(OR(ISBLANK(J24),ISBLANK(L24)),"N/A",IF(ABS((L24-J24)/J24)&gt;0.25,"&gt; 25%","ok"))</f>
        <v>#DIV/0!</v>
      </c>
      <c r="BN24" s="80"/>
      <c r="BO24" s="80" t="e">
        <f t="shared" si="19"/>
        <v>#DIV/0!</v>
      </c>
      <c r="BP24" s="80"/>
      <c r="BQ24" s="80" t="e">
        <f t="shared" si="20"/>
        <v>#DIV/0!</v>
      </c>
      <c r="BR24" s="80"/>
      <c r="BS24" s="80" t="e">
        <f t="shared" si="3"/>
        <v>#DIV/0!</v>
      </c>
      <c r="BT24" s="80"/>
      <c r="BU24" s="80" t="e">
        <f t="shared" si="4"/>
        <v>#DIV/0!</v>
      </c>
      <c r="BV24" s="80"/>
      <c r="BW24" s="80" t="e">
        <f t="shared" si="5"/>
        <v>#DIV/0!</v>
      </c>
      <c r="BX24" s="80"/>
      <c r="BY24" s="80" t="e">
        <f t="shared" si="6"/>
        <v>#DIV/0!</v>
      </c>
      <c r="BZ24" s="80"/>
      <c r="CA24" s="80" t="e">
        <f t="shared" si="7"/>
        <v>#DIV/0!</v>
      </c>
      <c r="CB24" s="80"/>
      <c r="CC24" s="80" t="e">
        <f t="shared" si="8"/>
        <v>#DIV/0!</v>
      </c>
      <c r="CD24" s="80"/>
      <c r="CE24" s="80" t="e">
        <f t="shared" si="9"/>
        <v>#DIV/0!</v>
      </c>
      <c r="CF24" s="80"/>
      <c r="CG24" s="80" t="e">
        <f t="shared" si="10"/>
        <v>#DIV/0!</v>
      </c>
      <c r="CH24" s="80"/>
      <c r="CI24" s="80" t="e">
        <f t="shared" si="11"/>
        <v>#DIV/0!</v>
      </c>
      <c r="CJ24" s="80"/>
      <c r="CK24" s="80" t="e">
        <f t="shared" si="12"/>
        <v>#DIV/0!</v>
      </c>
      <c r="CL24" s="80"/>
      <c r="CM24" s="80" t="e">
        <f t="shared" si="13"/>
        <v>#DIV/0!</v>
      </c>
      <c r="CN24" s="80"/>
      <c r="CO24" s="80" t="e">
        <f t="shared" si="14"/>
        <v>#DIV/0!</v>
      </c>
      <c r="CP24" s="80"/>
      <c r="CQ24" s="80" t="e">
        <f t="shared" si="0"/>
        <v>#DIV/0!</v>
      </c>
      <c r="CR24" s="80"/>
      <c r="CS24" s="80" t="str">
        <f t="shared" si="15"/>
        <v>N/A</v>
      </c>
      <c r="CT24" s="80"/>
      <c r="CU24" s="80" t="str">
        <f t="shared" si="16"/>
        <v>N/A</v>
      </c>
      <c r="CV24" s="80"/>
      <c r="CW24" s="80" t="str">
        <f t="shared" si="21"/>
        <v>N/A</v>
      </c>
      <c r="CX24" s="80"/>
      <c r="CY24" s="80" t="str">
        <f t="shared" si="22"/>
        <v>N/A</v>
      </c>
      <c r="CZ24" s="80"/>
      <c r="DA24" s="80" t="str">
        <f t="shared" si="1"/>
        <v>N/A</v>
      </c>
    </row>
    <row r="25" spans="1:105" s="378" customFormat="1" ht="15" customHeight="1">
      <c r="A25" s="212"/>
      <c r="B25" s="365">
        <v>2435</v>
      </c>
      <c r="C25" s="255">
        <v>17</v>
      </c>
      <c r="D25" s="366" t="s">
        <v>90</v>
      </c>
      <c r="E25" s="255" t="s">
        <v>313</v>
      </c>
      <c r="F25" s="575">
        <v>0</v>
      </c>
      <c r="G25" s="588"/>
      <c r="H25" s="575">
        <v>0</v>
      </c>
      <c r="I25" s="588"/>
      <c r="J25" s="575">
        <v>0</v>
      </c>
      <c r="K25" s="588"/>
      <c r="L25" s="575">
        <v>0</v>
      </c>
      <c r="M25" s="588"/>
      <c r="N25" s="575">
        <v>0</v>
      </c>
      <c r="O25" s="588"/>
      <c r="P25" s="575">
        <v>0</v>
      </c>
      <c r="Q25" s="588"/>
      <c r="R25" s="575">
        <v>0</v>
      </c>
      <c r="S25" s="588"/>
      <c r="T25" s="575">
        <v>0</v>
      </c>
      <c r="U25" s="588"/>
      <c r="V25" s="575">
        <v>0</v>
      </c>
      <c r="W25" s="588"/>
      <c r="X25" s="575">
        <v>0</v>
      </c>
      <c r="Y25" s="588"/>
      <c r="Z25" s="575">
        <v>0</v>
      </c>
      <c r="AA25" s="588"/>
      <c r="AB25" s="575">
        <v>0</v>
      </c>
      <c r="AC25" s="588"/>
      <c r="AD25" s="575">
        <v>0</v>
      </c>
      <c r="AE25" s="588"/>
      <c r="AF25" s="575">
        <v>0</v>
      </c>
      <c r="AG25" s="588"/>
      <c r="AH25" s="575">
        <v>0</v>
      </c>
      <c r="AI25" s="588"/>
      <c r="AJ25" s="575">
        <v>0</v>
      </c>
      <c r="AK25" s="588"/>
      <c r="AL25" s="575">
        <v>0</v>
      </c>
      <c r="AM25" s="588"/>
      <c r="AN25" s="575">
        <v>0</v>
      </c>
      <c r="AO25" s="588"/>
      <c r="AP25" s="575">
        <v>0</v>
      </c>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e">
        <f t="shared" si="2"/>
        <v>#DIV/0!</v>
      </c>
      <c r="BJ25" s="606"/>
      <c r="BK25" s="80" t="e">
        <f t="shared" si="17"/>
        <v>#DIV/0!</v>
      </c>
      <c r="BL25" s="80"/>
      <c r="BM25" s="80" t="e">
        <f t="shared" si="18"/>
        <v>#DIV/0!</v>
      </c>
      <c r="BN25" s="80"/>
      <c r="BO25" s="80" t="e">
        <f t="shared" si="19"/>
        <v>#DIV/0!</v>
      </c>
      <c r="BP25" s="80"/>
      <c r="BQ25" s="80" t="e">
        <f t="shared" si="20"/>
        <v>#DIV/0!</v>
      </c>
      <c r="BR25" s="80"/>
      <c r="BS25" s="80" t="e">
        <f t="shared" si="3"/>
        <v>#DIV/0!</v>
      </c>
      <c r="BT25" s="80"/>
      <c r="BU25" s="80" t="e">
        <f t="shared" si="4"/>
        <v>#DIV/0!</v>
      </c>
      <c r="BV25" s="80"/>
      <c r="BW25" s="80" t="e">
        <f t="shared" si="5"/>
        <v>#DIV/0!</v>
      </c>
      <c r="BX25" s="80"/>
      <c r="BY25" s="80" t="e">
        <f t="shared" si="6"/>
        <v>#DIV/0!</v>
      </c>
      <c r="BZ25" s="80"/>
      <c r="CA25" s="80" t="e">
        <f t="shared" si="7"/>
        <v>#DIV/0!</v>
      </c>
      <c r="CB25" s="80"/>
      <c r="CC25" s="80" t="e">
        <f t="shared" si="8"/>
        <v>#DIV/0!</v>
      </c>
      <c r="CD25" s="80"/>
      <c r="CE25" s="80" t="e">
        <f t="shared" si="9"/>
        <v>#DIV/0!</v>
      </c>
      <c r="CF25" s="80"/>
      <c r="CG25" s="80" t="e">
        <f t="shared" si="10"/>
        <v>#DIV/0!</v>
      </c>
      <c r="CH25" s="80"/>
      <c r="CI25" s="80" t="e">
        <f t="shared" si="11"/>
        <v>#DIV/0!</v>
      </c>
      <c r="CJ25" s="80"/>
      <c r="CK25" s="80" t="e">
        <f t="shared" si="12"/>
        <v>#DIV/0!</v>
      </c>
      <c r="CL25" s="80"/>
      <c r="CM25" s="80" t="e">
        <f t="shared" si="13"/>
        <v>#DIV/0!</v>
      </c>
      <c r="CN25" s="80"/>
      <c r="CO25" s="80" t="e">
        <f t="shared" si="14"/>
        <v>#DIV/0!</v>
      </c>
      <c r="CP25" s="80"/>
      <c r="CQ25" s="80" t="e">
        <f t="shared" si="0"/>
        <v>#DIV/0!</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c r="G26" s="588"/>
      <c r="H26" s="575"/>
      <c r="I26" s="588"/>
      <c r="J26" s="575"/>
      <c r="K26" s="588"/>
      <c r="L26" s="575"/>
      <c r="M26" s="588"/>
      <c r="N26" s="575"/>
      <c r="O26" s="588"/>
      <c r="P26" s="575"/>
      <c r="Q26" s="588"/>
      <c r="R26" s="575"/>
      <c r="S26" s="588"/>
      <c r="T26" s="575"/>
      <c r="U26" s="588"/>
      <c r="V26" s="575"/>
      <c r="W26" s="588"/>
      <c r="X26" s="575"/>
      <c r="Y26" s="588"/>
      <c r="Z26" s="575"/>
      <c r="AA26" s="588"/>
      <c r="AB26" s="575"/>
      <c r="AC26" s="588"/>
      <c r="AD26" s="575"/>
      <c r="AE26" s="588"/>
      <c r="AF26" s="575"/>
      <c r="AG26" s="588"/>
      <c r="AH26" s="575"/>
      <c r="AI26" s="588"/>
      <c r="AJ26" s="575"/>
      <c r="AK26" s="588"/>
      <c r="AL26" s="575"/>
      <c r="AM26" s="588"/>
      <c r="AN26" s="575"/>
      <c r="AO26" s="588"/>
      <c r="AP26" s="575"/>
      <c r="AQ26" s="588"/>
      <c r="AR26" s="575"/>
      <c r="AS26" s="588"/>
      <c r="AT26" s="575">
        <f>+AT10</f>
        <v>1550</v>
      </c>
      <c r="AU26" s="588"/>
      <c r="AV26" s="575"/>
      <c r="AW26" s="588"/>
      <c r="AX26" s="575">
        <f>+AX10</f>
        <v>1350</v>
      </c>
      <c r="AY26" s="588"/>
      <c r="AZ26" s="575"/>
      <c r="BA26" s="588"/>
      <c r="BB26" s="675"/>
      <c r="BC26" s="385"/>
      <c r="BD26" s="639">
        <v>18</v>
      </c>
      <c r="BE26" s="377" t="s">
        <v>558</v>
      </c>
      <c r="BF26" s="82" t="s">
        <v>81</v>
      </c>
      <c r="BG26" s="80" t="s">
        <v>85</v>
      </c>
      <c r="BH26" s="615"/>
      <c r="BI26" s="80" t="str">
        <f t="shared" si="2"/>
        <v>N/A</v>
      </c>
      <c r="BJ26" s="615"/>
      <c r="BK26" s="80" t="str">
        <f t="shared" si="17"/>
        <v>N/A</v>
      </c>
      <c r="BL26" s="106"/>
      <c r="BM26" s="80" t="str">
        <f t="shared" si="18"/>
        <v>N/A</v>
      </c>
      <c r="BN26" s="106"/>
      <c r="BO26" s="80" t="str">
        <f t="shared" si="19"/>
        <v>N/A</v>
      </c>
      <c r="BP26" s="106"/>
      <c r="BQ26" s="80" t="str">
        <f t="shared" si="20"/>
        <v>N/A</v>
      </c>
      <c r="BR26" s="106"/>
      <c r="BS26" s="80" t="str">
        <f t="shared" si="3"/>
        <v>N/A</v>
      </c>
      <c r="BT26" s="106"/>
      <c r="BU26" s="80" t="str">
        <f t="shared" si="4"/>
        <v>N/A</v>
      </c>
      <c r="BV26" s="106"/>
      <c r="BW26" s="80" t="str">
        <f t="shared" si="5"/>
        <v>N/A</v>
      </c>
      <c r="BX26" s="106"/>
      <c r="BY26" s="80" t="str">
        <f t="shared" si="6"/>
        <v>N/A</v>
      </c>
      <c r="BZ26" s="106"/>
      <c r="CA26" s="80" t="str">
        <f t="shared" si="7"/>
        <v>N/A</v>
      </c>
      <c r="CB26" s="106"/>
      <c r="CC26" s="80" t="str">
        <f t="shared" si="8"/>
        <v>N/A</v>
      </c>
      <c r="CD26" s="106"/>
      <c r="CE26" s="80" t="str">
        <f t="shared" si="9"/>
        <v>N/A</v>
      </c>
      <c r="CF26" s="106"/>
      <c r="CG26" s="80" t="str">
        <f t="shared" si="10"/>
        <v>N/A</v>
      </c>
      <c r="CH26" s="106"/>
      <c r="CI26" s="80" t="str">
        <f t="shared" si="11"/>
        <v>N/A</v>
      </c>
      <c r="CJ26" s="106"/>
      <c r="CK26" s="80" t="str">
        <f t="shared" si="12"/>
        <v>N/A</v>
      </c>
      <c r="CL26" s="106"/>
      <c r="CM26" s="80" t="str">
        <f t="shared" si="13"/>
        <v>N/A</v>
      </c>
      <c r="CN26" s="106"/>
      <c r="CO26" s="80" t="str">
        <f t="shared" si="14"/>
        <v>N/A</v>
      </c>
      <c r="CP26" s="106"/>
      <c r="CQ26" s="80" t="str">
        <f t="shared" si="0"/>
        <v>N/A</v>
      </c>
      <c r="CR26" s="106"/>
      <c r="CS26" s="80" t="str">
        <f t="shared" si="15"/>
        <v>N/A</v>
      </c>
      <c r="CT26" s="106"/>
      <c r="CU26" s="80" t="str">
        <f t="shared" si="16"/>
        <v>N/A</v>
      </c>
      <c r="CV26" s="106"/>
      <c r="CW26" s="80" t="str">
        <f t="shared" si="21"/>
        <v>N/A</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v>913</v>
      </c>
      <c r="G28" s="588" t="s">
        <v>638</v>
      </c>
      <c r="H28" s="575"/>
      <c r="I28" s="588"/>
      <c r="J28" s="575"/>
      <c r="K28" s="588"/>
      <c r="L28" s="575"/>
      <c r="M28" s="588"/>
      <c r="N28" s="575"/>
      <c r="O28" s="588"/>
      <c r="P28" s="575"/>
      <c r="Q28" s="588"/>
      <c r="R28" s="575">
        <v>1437</v>
      </c>
      <c r="S28" s="588" t="s">
        <v>638</v>
      </c>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v>159</v>
      </c>
      <c r="G30" s="588" t="s">
        <v>638</v>
      </c>
      <c r="H30" s="575"/>
      <c r="I30" s="588"/>
      <c r="J30" s="575"/>
      <c r="K30" s="588"/>
      <c r="L30" s="575"/>
      <c r="M30" s="588"/>
      <c r="N30" s="575"/>
      <c r="O30" s="588"/>
      <c r="P30" s="575"/>
      <c r="Q30" s="588"/>
      <c r="R30" s="575">
        <v>207</v>
      </c>
      <c r="S30" s="588" t="s">
        <v>638</v>
      </c>
      <c r="T30" s="575"/>
      <c r="U30" s="588"/>
      <c r="V30" s="575"/>
      <c r="W30" s="588"/>
      <c r="X30" s="575"/>
      <c r="Y30" s="588"/>
      <c r="Z30" s="575"/>
      <c r="AA30" s="588"/>
      <c r="AB30" s="575">
        <v>218</v>
      </c>
      <c r="AC30" s="588"/>
      <c r="AD30" s="575"/>
      <c r="AE30" s="588"/>
      <c r="AF30" s="575"/>
      <c r="AG30" s="588"/>
      <c r="AH30" s="575"/>
      <c r="AI30" s="588"/>
      <c r="AJ30" s="575"/>
      <c r="AK30" s="588"/>
      <c r="AL30" s="575"/>
      <c r="AM30" s="588"/>
      <c r="AN30" s="575"/>
      <c r="AO30" s="588"/>
      <c r="AP30" s="575"/>
      <c r="AQ30" s="588"/>
      <c r="AR30" s="575"/>
      <c r="AS30" s="588"/>
      <c r="AT30" s="575"/>
      <c r="AU30" s="588"/>
      <c r="AV30" s="575"/>
      <c r="AW30" s="588"/>
      <c r="AX30" s="575"/>
      <c r="AY30" s="588"/>
      <c r="AZ30" s="575"/>
      <c r="BA30" s="588"/>
      <c r="BB30" s="502"/>
      <c r="BC30" s="215"/>
      <c r="BD30" s="594">
        <v>21</v>
      </c>
      <c r="BE30" s="293" t="s">
        <v>399</v>
      </c>
      <c r="BF30" s="82" t="s">
        <v>81</v>
      </c>
      <c r="BG30" s="80" t="s">
        <v>85</v>
      </c>
      <c r="BH30" s="606"/>
      <c r="BI30" s="80" t="str">
        <f t="shared" si="2"/>
        <v>N/A</v>
      </c>
      <c r="BJ30" s="606"/>
      <c r="BK30" s="80" t="str">
        <f aca="true" t="shared" si="23" ref="BK30:BK38">IF(OR(ISBLANK(H30),ISBLANK(J30)),"N/A",IF(ABS((J30-H30)/H30)&gt;0.25,"&gt; 25%","ok"))</f>
        <v>N/A</v>
      </c>
      <c r="BL30" s="80"/>
      <c r="BM30" s="80" t="str">
        <f aca="true" t="shared" si="24" ref="BM30:BM38">IF(OR(ISBLANK(J30),ISBLANK(L30)),"N/A",IF(ABS((L30-J30)/J30)&gt;0.25,"&gt; 25%","ok"))</f>
        <v>N/A</v>
      </c>
      <c r="BN30" s="80"/>
      <c r="BO30" s="80" t="str">
        <f aca="true" t="shared" si="25" ref="BO30:BO38">IF(OR(ISBLANK(L30),ISBLANK(N30)),"N/A",IF(ABS((N30-L30)/L30)&gt;0.25,"&gt; 25%","ok"))</f>
        <v>N/A</v>
      </c>
      <c r="BP30" s="80"/>
      <c r="BQ30" s="80" t="str">
        <f aca="true" t="shared" si="26" ref="BQ30:BQ38">IF(OR(ISBLANK(N30),ISBLANK(P30)),"N/A",IF(ABS((P30-N30)/N30)&gt;0.25,"&gt; 25%","ok"))</f>
        <v>N/A</v>
      </c>
      <c r="BR30" s="80"/>
      <c r="BS30" s="80" t="str">
        <f t="shared" si="3"/>
        <v>N/A</v>
      </c>
      <c r="BT30" s="80"/>
      <c r="BU30" s="80" t="str">
        <f t="shared" si="4"/>
        <v>N/A</v>
      </c>
      <c r="BV30" s="80"/>
      <c r="BW30" s="80" t="str">
        <f t="shared" si="5"/>
        <v>N/A</v>
      </c>
      <c r="BX30" s="80"/>
      <c r="BY30" s="80" t="str">
        <f>IF(OR(ISBLANK(V30),ISBLANK(X30)),"N/A",IF(ABS((X30-V30)/V30)&gt;0.25,"&gt; 25%","ok"))</f>
        <v>N/A</v>
      </c>
      <c r="BZ30" s="80"/>
      <c r="CA30" s="80" t="str">
        <f t="shared" si="7"/>
        <v>N/A</v>
      </c>
      <c r="CB30" s="80"/>
      <c r="CC30" s="80" t="str">
        <f t="shared" si="8"/>
        <v>N/A</v>
      </c>
      <c r="CD30" s="80"/>
      <c r="CE30" s="80" t="str">
        <f t="shared" si="9"/>
        <v>N/A</v>
      </c>
      <c r="CF30" s="80"/>
      <c r="CG30" s="80" t="str">
        <f t="shared" si="10"/>
        <v>N/A</v>
      </c>
      <c r="CH30" s="80"/>
      <c r="CI30" s="80" t="str">
        <f t="shared" si="11"/>
        <v>N/A</v>
      </c>
      <c r="CJ30" s="80"/>
      <c r="CK30" s="80" t="str">
        <f t="shared" si="12"/>
        <v>N/A</v>
      </c>
      <c r="CL30" s="80"/>
      <c r="CM30" s="80" t="str">
        <f t="shared" si="13"/>
        <v>N/A</v>
      </c>
      <c r="CN30" s="80"/>
      <c r="CO30" s="80" t="str">
        <f t="shared" si="14"/>
        <v>N/A</v>
      </c>
      <c r="CP30" s="80"/>
      <c r="CQ30" s="80" t="str">
        <f t="shared" si="0"/>
        <v>N/A</v>
      </c>
      <c r="CR30" s="80"/>
      <c r="CS30" s="80" t="str">
        <f t="shared" si="15"/>
        <v>N/A</v>
      </c>
      <c r="CT30" s="80"/>
      <c r="CU30" s="80" t="str">
        <f t="shared" si="16"/>
        <v>N/A</v>
      </c>
      <c r="CV30" s="80"/>
      <c r="CW30" s="80" t="str">
        <f aca="true" t="shared" si="27" ref="CW30:CW38">IF(OR(ISBLANK(AT30),ISBLANK(AV30)),"N/A",IF(ABS((AV30-AT30)/AT30)&gt;0.25,"&gt; 25%","ok"))</f>
        <v>N/A</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v>682</v>
      </c>
      <c r="G31" s="585" t="s">
        <v>638</v>
      </c>
      <c r="H31" s="602"/>
      <c r="I31" s="585"/>
      <c r="J31" s="602"/>
      <c r="K31" s="585"/>
      <c r="L31" s="602"/>
      <c r="M31" s="585"/>
      <c r="N31" s="602"/>
      <c r="O31" s="585"/>
      <c r="P31" s="602"/>
      <c r="Q31" s="585"/>
      <c r="R31" s="602">
        <v>1149</v>
      </c>
      <c r="S31" s="585" t="s">
        <v>638</v>
      </c>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v>439</v>
      </c>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v>72</v>
      </c>
      <c r="G34" s="585" t="s">
        <v>638</v>
      </c>
      <c r="H34" s="602"/>
      <c r="I34" s="585"/>
      <c r="J34" s="602"/>
      <c r="K34" s="585"/>
      <c r="L34" s="602"/>
      <c r="M34" s="585"/>
      <c r="N34" s="602"/>
      <c r="O34" s="585"/>
      <c r="P34" s="602"/>
      <c r="Q34" s="585"/>
      <c r="R34" s="602">
        <v>81</v>
      </c>
      <c r="S34" s="585" t="s">
        <v>638</v>
      </c>
      <c r="T34" s="602"/>
      <c r="U34" s="585"/>
      <c r="V34" s="602"/>
      <c r="W34" s="585"/>
      <c r="X34" s="602"/>
      <c r="Y34" s="585"/>
      <c r="Z34" s="602"/>
      <c r="AA34" s="585"/>
      <c r="AB34" s="602">
        <v>86</v>
      </c>
      <c r="AC34" s="585" t="s">
        <v>649</v>
      </c>
      <c r="AD34" s="602"/>
      <c r="AE34" s="585"/>
      <c r="AF34" s="602"/>
      <c r="AG34" s="585"/>
      <c r="AH34" s="602"/>
      <c r="AI34" s="585"/>
      <c r="AJ34" s="602"/>
      <c r="AK34" s="585"/>
      <c r="AL34" s="602"/>
      <c r="AM34" s="585"/>
      <c r="AN34" s="602"/>
      <c r="AO34" s="585"/>
      <c r="AP34" s="602"/>
      <c r="AQ34" s="585"/>
      <c r="AR34" s="602"/>
      <c r="AS34" s="585"/>
      <c r="AT34" s="602"/>
      <c r="AU34" s="585"/>
      <c r="AV34" s="602"/>
      <c r="AW34" s="585"/>
      <c r="AX34" s="602"/>
      <c r="AY34" s="585"/>
      <c r="AZ34" s="602"/>
      <c r="BA34" s="585"/>
      <c r="BB34" s="502"/>
      <c r="BC34" s="215"/>
      <c r="BD34" s="643">
        <v>25</v>
      </c>
      <c r="BE34" s="293" t="s">
        <v>400</v>
      </c>
      <c r="BF34" s="82" t="s">
        <v>81</v>
      </c>
      <c r="BG34" s="80" t="s">
        <v>85</v>
      </c>
      <c r="BH34" s="607"/>
      <c r="BI34" s="80" t="str">
        <f t="shared" si="2"/>
        <v>N/A</v>
      </c>
      <c r="BJ34" s="606"/>
      <c r="BK34" s="80" t="str">
        <f t="shared" si="23"/>
        <v>N/A</v>
      </c>
      <c r="BL34" s="80"/>
      <c r="BM34" s="80" t="str">
        <f t="shared" si="24"/>
        <v>N/A</v>
      </c>
      <c r="BN34" s="80"/>
      <c r="BO34" s="80" t="str">
        <f t="shared" si="25"/>
        <v>N/A</v>
      </c>
      <c r="BP34" s="80"/>
      <c r="BQ34" s="80" t="str">
        <f t="shared" si="26"/>
        <v>N/A</v>
      </c>
      <c r="BR34" s="80"/>
      <c r="BS34" s="80" t="str">
        <f t="shared" si="3"/>
        <v>N/A</v>
      </c>
      <c r="BT34" s="80"/>
      <c r="BU34" s="80" t="str">
        <f t="shared" si="4"/>
        <v>N/A</v>
      </c>
      <c r="BV34" s="80"/>
      <c r="BW34" s="80" t="str">
        <f t="shared" si="5"/>
        <v>N/A</v>
      </c>
      <c r="BX34" s="80"/>
      <c r="BY34" s="80" t="str">
        <f t="shared" si="6"/>
        <v>N/A</v>
      </c>
      <c r="BZ34" s="80"/>
      <c r="CA34" s="80" t="str">
        <f t="shared" si="7"/>
        <v>N/A</v>
      </c>
      <c r="CB34" s="80"/>
      <c r="CC34" s="80" t="str">
        <f t="shared" si="8"/>
        <v>N/A</v>
      </c>
      <c r="CD34" s="80"/>
      <c r="CE34" s="80" t="str">
        <f t="shared" si="9"/>
        <v>N/A</v>
      </c>
      <c r="CF34" s="80"/>
      <c r="CG34" s="80" t="str">
        <f t="shared" si="10"/>
        <v>N/A</v>
      </c>
      <c r="CH34" s="80"/>
      <c r="CI34" s="80" t="str">
        <f t="shared" si="11"/>
        <v>N/A</v>
      </c>
      <c r="CJ34" s="80"/>
      <c r="CK34" s="80" t="str">
        <f t="shared" si="12"/>
        <v>N/A</v>
      </c>
      <c r="CL34" s="80"/>
      <c r="CM34" s="80" t="str">
        <f t="shared" si="13"/>
        <v>N/A</v>
      </c>
      <c r="CN34" s="80"/>
      <c r="CO34" s="80" t="str">
        <f t="shared" si="14"/>
        <v>N/A</v>
      </c>
      <c r="CP34" s="80"/>
      <c r="CQ34" s="80" t="str">
        <f t="shared" si="0"/>
        <v>N/A</v>
      </c>
      <c r="CR34" s="80"/>
      <c r="CS34" s="80" t="str">
        <f t="shared" si="15"/>
        <v>N/A</v>
      </c>
      <c r="CT34" s="80"/>
      <c r="CU34" s="80" t="str">
        <f t="shared" si="16"/>
        <v>N/A</v>
      </c>
      <c r="CV34" s="80"/>
      <c r="CW34" s="80" t="str">
        <f t="shared" si="27"/>
        <v>N/A</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v>0</v>
      </c>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74" t="s">
        <v>203</v>
      </c>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74" t="s">
        <v>264</v>
      </c>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70" t="s">
        <v>149</v>
      </c>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0"/>
      <c r="AY42" s="770"/>
      <c r="AZ42" s="770"/>
      <c r="BA42" s="770"/>
      <c r="BB42" s="770"/>
      <c r="BC42" s="393"/>
      <c r="BD42" s="394">
        <v>3</v>
      </c>
      <c r="BE42" s="563" t="s">
        <v>125</v>
      </c>
      <c r="BF42" s="97" t="s">
        <v>81</v>
      </c>
      <c r="BG42" s="80">
        <f>F10</f>
        <v>0</v>
      </c>
      <c r="BH42" s="80"/>
      <c r="BI42" s="80">
        <f aca="true" t="shared" si="29" ref="BI42:DA42">H10</f>
        <v>0</v>
      </c>
      <c r="BJ42" s="80"/>
      <c r="BK42" s="80">
        <f t="shared" si="29"/>
        <v>0</v>
      </c>
      <c r="BL42" s="80"/>
      <c r="BM42" s="80">
        <f t="shared" si="29"/>
        <v>0</v>
      </c>
      <c r="BN42" s="80"/>
      <c r="BO42" s="80">
        <f t="shared" si="29"/>
        <v>0</v>
      </c>
      <c r="BP42" s="80"/>
      <c r="BQ42" s="80">
        <f t="shared" si="29"/>
        <v>0</v>
      </c>
      <c r="BR42" s="80"/>
      <c r="BS42" s="80">
        <f t="shared" si="29"/>
        <v>0</v>
      </c>
      <c r="BT42" s="80"/>
      <c r="BU42" s="80">
        <f t="shared" si="29"/>
        <v>0</v>
      </c>
      <c r="BV42" s="80"/>
      <c r="BW42" s="80">
        <f t="shared" si="29"/>
        <v>0</v>
      </c>
      <c r="BX42" s="80"/>
      <c r="BY42" s="80">
        <f t="shared" si="29"/>
        <v>0</v>
      </c>
      <c r="BZ42" s="80"/>
      <c r="CA42" s="80">
        <f t="shared" si="29"/>
        <v>0</v>
      </c>
      <c r="CB42" s="80"/>
      <c r="CC42" s="80">
        <f t="shared" si="29"/>
        <v>0</v>
      </c>
      <c r="CD42" s="80"/>
      <c r="CE42" s="80">
        <f t="shared" si="29"/>
        <v>0</v>
      </c>
      <c r="CF42" s="80"/>
      <c r="CG42" s="80">
        <f t="shared" si="29"/>
        <v>0</v>
      </c>
      <c r="CH42" s="80"/>
      <c r="CI42" s="80">
        <f t="shared" si="29"/>
        <v>0</v>
      </c>
      <c r="CJ42" s="80"/>
      <c r="CK42" s="80">
        <f t="shared" si="29"/>
        <v>0</v>
      </c>
      <c r="CL42" s="80"/>
      <c r="CM42" s="80">
        <f t="shared" si="29"/>
        <v>1203</v>
      </c>
      <c r="CN42" s="80"/>
      <c r="CO42" s="80">
        <f t="shared" si="29"/>
        <v>0</v>
      </c>
      <c r="CP42" s="80"/>
      <c r="CQ42" s="80">
        <f t="shared" si="29"/>
        <v>0</v>
      </c>
      <c r="CR42" s="80"/>
      <c r="CS42" s="80">
        <f t="shared" si="29"/>
        <v>0</v>
      </c>
      <c r="CT42" s="80"/>
      <c r="CU42" s="80">
        <f t="shared" si="29"/>
        <v>1550</v>
      </c>
      <c r="CV42" s="80"/>
      <c r="CW42" s="80">
        <f t="shared" si="29"/>
        <v>830</v>
      </c>
      <c r="CX42" s="80"/>
      <c r="CY42" s="80">
        <f t="shared" si="29"/>
        <v>1350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74" t="s">
        <v>114</v>
      </c>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393"/>
      <c r="BD43" s="299">
        <v>30</v>
      </c>
      <c r="BE43" s="395" t="s">
        <v>237</v>
      </c>
      <c r="BF43" s="97" t="s">
        <v>81</v>
      </c>
      <c r="BG43" s="83">
        <f>F8+F9</f>
        <v>0</v>
      </c>
      <c r="BH43" s="83"/>
      <c r="BI43" s="83">
        <f aca="true" t="shared" si="30" ref="BI43:DA43">H8+H9</f>
        <v>0</v>
      </c>
      <c r="BJ43" s="83"/>
      <c r="BK43" s="83">
        <f t="shared" si="30"/>
        <v>0</v>
      </c>
      <c r="BL43" s="83"/>
      <c r="BM43" s="83">
        <f t="shared" si="30"/>
        <v>0</v>
      </c>
      <c r="BN43" s="83"/>
      <c r="BO43" s="83">
        <f t="shared" si="30"/>
        <v>0</v>
      </c>
      <c r="BP43" s="83"/>
      <c r="BQ43" s="83">
        <f t="shared" si="30"/>
        <v>0</v>
      </c>
      <c r="BR43" s="83"/>
      <c r="BS43" s="83">
        <f t="shared" si="30"/>
        <v>0</v>
      </c>
      <c r="BT43" s="83"/>
      <c r="BU43" s="83">
        <f t="shared" si="30"/>
        <v>0</v>
      </c>
      <c r="BV43" s="83"/>
      <c r="BW43" s="83">
        <f t="shared" si="30"/>
        <v>0</v>
      </c>
      <c r="BX43" s="83"/>
      <c r="BY43" s="83">
        <f t="shared" si="30"/>
        <v>0</v>
      </c>
      <c r="BZ43" s="83"/>
      <c r="CA43" s="83">
        <f t="shared" si="30"/>
        <v>0</v>
      </c>
      <c r="CB43" s="83"/>
      <c r="CC43" s="83">
        <f t="shared" si="30"/>
        <v>0</v>
      </c>
      <c r="CD43" s="83"/>
      <c r="CE43" s="83">
        <f t="shared" si="30"/>
        <v>0</v>
      </c>
      <c r="CF43" s="83"/>
      <c r="CG43" s="83">
        <f t="shared" si="30"/>
        <v>0</v>
      </c>
      <c r="CH43" s="83"/>
      <c r="CI43" s="83">
        <f t="shared" si="30"/>
        <v>0</v>
      </c>
      <c r="CJ43" s="83"/>
      <c r="CK43" s="83">
        <f t="shared" si="30"/>
        <v>0</v>
      </c>
      <c r="CL43" s="83"/>
      <c r="CM43" s="83">
        <f t="shared" si="30"/>
        <v>0</v>
      </c>
      <c r="CN43" s="83"/>
      <c r="CO43" s="83">
        <f t="shared" si="30"/>
        <v>0</v>
      </c>
      <c r="CP43" s="83"/>
      <c r="CQ43" s="83">
        <f t="shared" si="30"/>
        <v>0</v>
      </c>
      <c r="CR43" s="83"/>
      <c r="CS43" s="83">
        <f t="shared" si="30"/>
        <v>0</v>
      </c>
      <c r="CT43" s="83"/>
      <c r="CU43" s="83">
        <f t="shared" si="30"/>
        <v>1550</v>
      </c>
      <c r="CV43" s="83"/>
      <c r="CW43" s="83">
        <f t="shared" si="30"/>
        <v>830</v>
      </c>
      <c r="CX43" s="83"/>
      <c r="CY43" s="83">
        <f t="shared" si="30"/>
        <v>1350</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0"/>
      <c r="AY44" s="790"/>
      <c r="AZ44" s="790"/>
      <c r="BA44" s="790"/>
      <c r="BB44" s="790"/>
      <c r="BC44" s="393"/>
      <c r="BD44" s="287" t="s">
        <v>182</v>
      </c>
      <c r="BE44" s="395" t="s">
        <v>596</v>
      </c>
      <c r="BF44" s="97"/>
      <c r="BG44" s="80" t="str">
        <f>IF(OR(ISBLANK(F8),ISBLANK(F9),ISBLANK(F10)),"N/A",IF((BG42=BG43),"ok","&lt;&gt;"))</f>
        <v>N/A</v>
      </c>
      <c r="BH44" s="80"/>
      <c r="BI44" s="80" t="str">
        <f aca="true" t="shared" si="31" ref="BI44:DA44">IF(OR(ISBLANK(H8),ISBLANK(H9),ISBLANK(H10)),"N/A",IF((BI42=BI43),"ok","&lt;&gt;"))</f>
        <v>N/A</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N/A</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N/A</v>
      </c>
      <c r="CP44" s="80"/>
      <c r="CQ44" s="80" t="str">
        <f t="shared" si="31"/>
        <v>N/A</v>
      </c>
      <c r="CR44" s="80"/>
      <c r="CS44" s="80" t="str">
        <f t="shared" si="31"/>
        <v>N/A</v>
      </c>
      <c r="CT44" s="80"/>
      <c r="CU44" s="80" t="str">
        <f t="shared" si="31"/>
        <v>ok</v>
      </c>
      <c r="CV44" s="80"/>
      <c r="CW44" s="80" t="str">
        <f t="shared" si="31"/>
        <v>ok</v>
      </c>
      <c r="CX44" s="80"/>
      <c r="CY44" s="80" t="str">
        <f t="shared" si="31"/>
        <v>ok</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799" t="str">
        <f>LEFT(D10,LEN(D10)-7)&amp;" (W2,3)"</f>
        <v>Freshwater abstracted (W2,3)</v>
      </c>
      <c r="F45" s="800"/>
      <c r="G45" s="800"/>
      <c r="H45" s="801"/>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75"/>
      <c r="AR45" s="775"/>
      <c r="AS45" s="775"/>
      <c r="AT45" s="775"/>
      <c r="AU45" s="775"/>
      <c r="AV45" s="775"/>
      <c r="AW45" s="775"/>
      <c r="AX45" s="775"/>
      <c r="AY45" s="775"/>
      <c r="AZ45" s="775"/>
      <c r="BA45" s="551"/>
      <c r="BB45" s="209"/>
      <c r="BC45" s="215"/>
      <c r="BD45" s="376">
        <v>18</v>
      </c>
      <c r="BE45" s="377" t="s">
        <v>558</v>
      </c>
      <c r="BF45" s="97" t="s">
        <v>81</v>
      </c>
      <c r="BG45" s="83">
        <f>F26</f>
        <v>0</v>
      </c>
      <c r="BH45" s="83"/>
      <c r="BI45" s="83">
        <f aca="true" t="shared" si="32" ref="BI45:DA45">H26</f>
        <v>0</v>
      </c>
      <c r="BJ45" s="83"/>
      <c r="BK45" s="83">
        <f t="shared" si="32"/>
        <v>0</v>
      </c>
      <c r="BL45" s="83"/>
      <c r="BM45" s="83">
        <f t="shared" si="32"/>
        <v>0</v>
      </c>
      <c r="BN45" s="83"/>
      <c r="BO45" s="83">
        <f t="shared" si="32"/>
        <v>0</v>
      </c>
      <c r="BP45" s="83"/>
      <c r="BQ45" s="83">
        <f t="shared" si="32"/>
        <v>0</v>
      </c>
      <c r="BR45" s="83"/>
      <c r="BS45" s="83">
        <f t="shared" si="32"/>
        <v>0</v>
      </c>
      <c r="BT45" s="83"/>
      <c r="BU45" s="83">
        <f t="shared" si="32"/>
        <v>0</v>
      </c>
      <c r="BV45" s="83"/>
      <c r="BW45" s="83">
        <f t="shared" si="32"/>
        <v>0</v>
      </c>
      <c r="BX45" s="83"/>
      <c r="BY45" s="83">
        <f t="shared" si="32"/>
        <v>0</v>
      </c>
      <c r="BZ45" s="83"/>
      <c r="CA45" s="83">
        <f t="shared" si="32"/>
        <v>0</v>
      </c>
      <c r="CB45" s="83"/>
      <c r="CC45" s="83">
        <f t="shared" si="32"/>
        <v>0</v>
      </c>
      <c r="CD45" s="83"/>
      <c r="CE45" s="83">
        <f t="shared" si="32"/>
        <v>0</v>
      </c>
      <c r="CF45" s="83"/>
      <c r="CG45" s="83">
        <f t="shared" si="32"/>
        <v>0</v>
      </c>
      <c r="CH45" s="83"/>
      <c r="CI45" s="83">
        <f t="shared" si="32"/>
        <v>0</v>
      </c>
      <c r="CJ45" s="83"/>
      <c r="CK45" s="83">
        <f t="shared" si="32"/>
        <v>0</v>
      </c>
      <c r="CL45" s="83"/>
      <c r="CM45" s="83">
        <f t="shared" si="32"/>
        <v>0</v>
      </c>
      <c r="CN45" s="83"/>
      <c r="CO45" s="83">
        <f t="shared" si="32"/>
        <v>0</v>
      </c>
      <c r="CP45" s="83"/>
      <c r="CQ45" s="83">
        <f t="shared" si="32"/>
        <v>0</v>
      </c>
      <c r="CR45" s="83"/>
      <c r="CS45" s="83">
        <f t="shared" si="32"/>
        <v>0</v>
      </c>
      <c r="CT45" s="83"/>
      <c r="CU45" s="83">
        <f t="shared" si="32"/>
        <v>1550</v>
      </c>
      <c r="CV45" s="83"/>
      <c r="CW45" s="83">
        <f t="shared" si="32"/>
        <v>0</v>
      </c>
      <c r="CX45" s="83"/>
      <c r="CY45" s="83">
        <f t="shared" si="32"/>
        <v>1350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75"/>
      <c r="AR46" s="775"/>
      <c r="AS46" s="775"/>
      <c r="AT46" s="775"/>
      <c r="AU46" s="775"/>
      <c r="AV46" s="775"/>
      <c r="AW46" s="775"/>
      <c r="AX46" s="775"/>
      <c r="AY46" s="775"/>
      <c r="AZ46" s="775"/>
      <c r="BA46" s="811"/>
      <c r="BB46" s="209"/>
      <c r="BD46" s="299">
        <v>31</v>
      </c>
      <c r="BE46" s="395" t="s">
        <v>597</v>
      </c>
      <c r="BF46" s="97" t="s">
        <v>81</v>
      </c>
      <c r="BG46" s="83">
        <f>F10+F22+F23+F24-F25</f>
        <v>0</v>
      </c>
      <c r="BH46" s="83"/>
      <c r="BI46" s="83">
        <f aca="true" t="shared" si="33" ref="BI46:DA46">H10+H22+H23+H24-H25</f>
        <v>0</v>
      </c>
      <c r="BJ46" s="83"/>
      <c r="BK46" s="83">
        <f t="shared" si="33"/>
        <v>0</v>
      </c>
      <c r="BL46" s="83"/>
      <c r="BM46" s="83">
        <f t="shared" si="33"/>
        <v>0</v>
      </c>
      <c r="BN46" s="83"/>
      <c r="BO46" s="83">
        <f t="shared" si="33"/>
        <v>0</v>
      </c>
      <c r="BP46" s="83"/>
      <c r="BQ46" s="83">
        <f t="shared" si="33"/>
        <v>0</v>
      </c>
      <c r="BR46" s="83"/>
      <c r="BS46" s="83">
        <f t="shared" si="33"/>
        <v>0</v>
      </c>
      <c r="BT46" s="83"/>
      <c r="BU46" s="83">
        <f t="shared" si="33"/>
        <v>0</v>
      </c>
      <c r="BV46" s="83"/>
      <c r="BW46" s="83">
        <f t="shared" si="33"/>
        <v>0</v>
      </c>
      <c r="BX46" s="83"/>
      <c r="BY46" s="83">
        <f t="shared" si="33"/>
        <v>0</v>
      </c>
      <c r="BZ46" s="83"/>
      <c r="CA46" s="83">
        <f t="shared" si="33"/>
        <v>0</v>
      </c>
      <c r="CB46" s="83"/>
      <c r="CC46" s="83">
        <f t="shared" si="33"/>
        <v>0</v>
      </c>
      <c r="CD46" s="83"/>
      <c r="CE46" s="83">
        <f t="shared" si="33"/>
        <v>0</v>
      </c>
      <c r="CF46" s="83"/>
      <c r="CG46" s="83">
        <f t="shared" si="33"/>
        <v>0</v>
      </c>
      <c r="CH46" s="83"/>
      <c r="CI46" s="83">
        <f t="shared" si="33"/>
        <v>0</v>
      </c>
      <c r="CJ46" s="83"/>
      <c r="CK46" s="83">
        <f t="shared" si="33"/>
        <v>0</v>
      </c>
      <c r="CL46" s="83"/>
      <c r="CM46" s="83">
        <f t="shared" si="33"/>
        <v>1203</v>
      </c>
      <c r="CN46" s="83"/>
      <c r="CO46" s="83">
        <f t="shared" si="33"/>
        <v>0</v>
      </c>
      <c r="CP46" s="83"/>
      <c r="CQ46" s="83">
        <f t="shared" si="33"/>
        <v>0</v>
      </c>
      <c r="CR46" s="83"/>
      <c r="CS46" s="83">
        <f t="shared" si="33"/>
        <v>0</v>
      </c>
      <c r="CT46" s="83"/>
      <c r="CU46" s="83">
        <f t="shared" si="33"/>
        <v>1550</v>
      </c>
      <c r="CV46" s="83"/>
      <c r="CW46" s="83">
        <f t="shared" si="33"/>
        <v>2577</v>
      </c>
      <c r="CX46" s="83"/>
      <c r="CY46" s="83">
        <f t="shared" si="33"/>
        <v>1350</v>
      </c>
      <c r="CZ46" s="83"/>
      <c r="DA46" s="83">
        <f t="shared" si="33"/>
        <v>0</v>
      </c>
    </row>
    <row r="47" spans="3:105" ht="21.75" customHeight="1">
      <c r="C47" s="550"/>
      <c r="D47" s="549" t="str">
        <f>D12&amp;" (W2,4)"</f>
        <v>Water supply industry (ISIC 36) (W2,4)</v>
      </c>
      <c r="E47" s="556"/>
      <c r="F47" s="802" t="str">
        <f>D22&amp;" (W2,14)"</f>
        <v>Desalinated water (W2,14)</v>
      </c>
      <c r="G47" s="803"/>
      <c r="H47" s="804"/>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75"/>
      <c r="AL47" s="811"/>
      <c r="AM47" s="811"/>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14"/>
      <c r="G48" s="815"/>
      <c r="H48" s="816"/>
      <c r="I48" s="551"/>
      <c r="J48" s="551"/>
      <c r="K48" s="551"/>
      <c r="L48" s="551"/>
      <c r="M48" s="551"/>
      <c r="N48" s="551"/>
      <c r="O48" s="551"/>
      <c r="P48" s="551"/>
      <c r="Q48" s="551"/>
      <c r="R48" s="551"/>
      <c r="S48" s="551"/>
      <c r="T48" s="551"/>
      <c r="U48" s="825" t="s">
        <v>534</v>
      </c>
      <c r="V48" s="826"/>
      <c r="W48" s="551"/>
      <c r="X48" s="551"/>
      <c r="Y48" s="551"/>
      <c r="Z48" s="571"/>
      <c r="AK48" s="811"/>
      <c r="AL48" s="811"/>
      <c r="AM48" s="811"/>
      <c r="AN48" s="551"/>
      <c r="AO48" s="551"/>
      <c r="AP48" s="551"/>
      <c r="AQ48" s="775"/>
      <c r="AR48" s="811"/>
      <c r="AS48" s="811"/>
      <c r="AT48" s="811"/>
      <c r="AU48" s="811"/>
      <c r="AV48" s="811"/>
      <c r="AW48" s="811"/>
      <c r="AX48" s="811"/>
      <c r="AY48" s="811"/>
      <c r="AZ48" s="811"/>
      <c r="BA48" s="811"/>
      <c r="BD48" s="376">
        <v>3</v>
      </c>
      <c r="BE48" s="563" t="s">
        <v>599</v>
      </c>
      <c r="BF48" s="97" t="s">
        <v>81</v>
      </c>
      <c r="BG48" s="80">
        <f>F10</f>
        <v>0</v>
      </c>
      <c r="BH48" s="80"/>
      <c r="BI48" s="80">
        <f aca="true" t="shared" si="35" ref="BI48:DA48">H10</f>
        <v>0</v>
      </c>
      <c r="BJ48" s="80"/>
      <c r="BK48" s="80">
        <f t="shared" si="35"/>
        <v>0</v>
      </c>
      <c r="BL48" s="80"/>
      <c r="BM48" s="80">
        <f t="shared" si="35"/>
        <v>0</v>
      </c>
      <c r="BN48" s="80"/>
      <c r="BO48" s="80">
        <f t="shared" si="35"/>
        <v>0</v>
      </c>
      <c r="BP48" s="80"/>
      <c r="BQ48" s="80">
        <f t="shared" si="35"/>
        <v>0</v>
      </c>
      <c r="BR48" s="80"/>
      <c r="BS48" s="80">
        <f t="shared" si="35"/>
        <v>0</v>
      </c>
      <c r="BT48" s="80"/>
      <c r="BU48" s="80">
        <f t="shared" si="35"/>
        <v>0</v>
      </c>
      <c r="BV48" s="80"/>
      <c r="BW48" s="80">
        <f t="shared" si="35"/>
        <v>0</v>
      </c>
      <c r="BX48" s="80"/>
      <c r="BY48" s="80">
        <f t="shared" si="35"/>
        <v>0</v>
      </c>
      <c r="BZ48" s="80"/>
      <c r="CA48" s="80">
        <f t="shared" si="35"/>
        <v>0</v>
      </c>
      <c r="CB48" s="80"/>
      <c r="CC48" s="80">
        <f t="shared" si="35"/>
        <v>0</v>
      </c>
      <c r="CD48" s="80"/>
      <c r="CE48" s="80">
        <f t="shared" si="35"/>
        <v>0</v>
      </c>
      <c r="CF48" s="80"/>
      <c r="CG48" s="80">
        <f t="shared" si="35"/>
        <v>0</v>
      </c>
      <c r="CH48" s="80"/>
      <c r="CI48" s="80">
        <f t="shared" si="35"/>
        <v>0</v>
      </c>
      <c r="CJ48" s="80"/>
      <c r="CK48" s="80">
        <f t="shared" si="35"/>
        <v>0</v>
      </c>
      <c r="CL48" s="80"/>
      <c r="CM48" s="80">
        <f t="shared" si="35"/>
        <v>1203</v>
      </c>
      <c r="CN48" s="80"/>
      <c r="CO48" s="80">
        <f t="shared" si="35"/>
        <v>0</v>
      </c>
      <c r="CP48" s="80"/>
      <c r="CQ48" s="80">
        <f t="shared" si="35"/>
        <v>0</v>
      </c>
      <c r="CR48" s="80"/>
      <c r="CS48" s="80">
        <f t="shared" si="35"/>
        <v>0</v>
      </c>
      <c r="CT48" s="80"/>
      <c r="CU48" s="80">
        <f t="shared" si="35"/>
        <v>1550</v>
      </c>
      <c r="CV48" s="80"/>
      <c r="CW48" s="80">
        <f t="shared" si="35"/>
        <v>830</v>
      </c>
      <c r="CX48" s="80"/>
      <c r="CY48" s="80">
        <f t="shared" si="35"/>
        <v>1350</v>
      </c>
      <c r="CZ48" s="80"/>
      <c r="DA48" s="80">
        <f t="shared" si="35"/>
        <v>0</v>
      </c>
    </row>
    <row r="49" spans="3:105" ht="21.75" customHeight="1">
      <c r="C49" s="557"/>
      <c r="D49" s="549" t="str">
        <f>D13&amp;" (W2,5)"</f>
        <v>Households  (W2,5)</v>
      </c>
      <c r="E49" s="551"/>
      <c r="F49" s="551"/>
      <c r="G49" s="551"/>
      <c r="H49" s="551"/>
      <c r="I49" s="551"/>
      <c r="J49" s="551"/>
      <c r="K49" s="551"/>
      <c r="L49" s="802" t="str">
        <f>LEFT(D26,LEN(D26)-16)&amp;" (W2,18)"</f>
        <v>Total freshwater available for use  (W2,18)</v>
      </c>
      <c r="M49" s="803"/>
      <c r="N49" s="804"/>
      <c r="O49" s="551"/>
      <c r="P49" s="551"/>
      <c r="Q49" s="802" t="str">
        <f>LEFT(D28,LEN(D28)-8)&amp;" (W2,20)"</f>
        <v>Total freshwater use  (W2,20)</v>
      </c>
      <c r="R49" s="803"/>
      <c r="S49" s="804"/>
      <c r="U49" s="826"/>
      <c r="V49" s="826"/>
      <c r="W49" s="551"/>
      <c r="X49" s="551"/>
      <c r="Y49" s="551"/>
      <c r="Z49" s="571"/>
      <c r="AA49" s="799" t="str">
        <f>D30&amp;" (W2,21)"</f>
        <v>    Households  (W2,21)</v>
      </c>
      <c r="AB49" s="812"/>
      <c r="AC49" s="812"/>
      <c r="AD49" s="812"/>
      <c r="AE49" s="812"/>
      <c r="AF49" s="812"/>
      <c r="AG49" s="812"/>
      <c r="AH49" s="820"/>
      <c r="AI49" s="820"/>
      <c r="AJ49" s="821"/>
      <c r="AK49" s="811"/>
      <c r="AL49" s="811"/>
      <c r="AM49" s="811"/>
      <c r="AN49" s="827"/>
      <c r="AO49" s="828"/>
      <c r="AP49" s="551"/>
      <c r="AQ49" s="811"/>
      <c r="AR49" s="811"/>
      <c r="AS49" s="811"/>
      <c r="AT49" s="811"/>
      <c r="AU49" s="811"/>
      <c r="AV49" s="811"/>
      <c r="AW49" s="811"/>
      <c r="AX49" s="811"/>
      <c r="AY49" s="811"/>
      <c r="AZ49" s="811"/>
      <c r="BA49" s="811"/>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300.5</v>
      </c>
      <c r="BR49" s="83"/>
      <c r="BS49" s="83">
        <f t="shared" si="36"/>
        <v>278</v>
      </c>
      <c r="BT49" s="83"/>
      <c r="BU49" s="83">
        <f t="shared" si="36"/>
        <v>278</v>
      </c>
      <c r="BV49" s="83"/>
      <c r="BW49" s="83">
        <f t="shared" si="36"/>
        <v>277</v>
      </c>
      <c r="BX49" s="83"/>
      <c r="BY49" s="83">
        <f t="shared" si="36"/>
        <v>386</v>
      </c>
      <c r="BZ49" s="83"/>
      <c r="CA49" s="83">
        <f t="shared" si="36"/>
        <v>399</v>
      </c>
      <c r="CB49" s="83"/>
      <c r="CC49" s="83">
        <f t="shared" si="36"/>
        <v>407</v>
      </c>
      <c r="CD49" s="83"/>
      <c r="CE49" s="83">
        <f t="shared" si="36"/>
        <v>403.1</v>
      </c>
      <c r="CF49" s="83"/>
      <c r="CG49" s="83">
        <f t="shared" si="36"/>
        <v>291.9</v>
      </c>
      <c r="CH49" s="83"/>
      <c r="CI49" s="83">
        <f t="shared" si="36"/>
        <v>291.8</v>
      </c>
      <c r="CJ49" s="83"/>
      <c r="CK49" s="83">
        <f t="shared" si="36"/>
        <v>299.2</v>
      </c>
      <c r="CL49" s="83"/>
      <c r="CM49" s="83">
        <f t="shared" si="36"/>
        <v>519.7</v>
      </c>
      <c r="CN49" s="83"/>
      <c r="CO49" s="83">
        <f t="shared" si="36"/>
        <v>302.8</v>
      </c>
      <c r="CP49" s="83"/>
      <c r="CQ49" s="83">
        <f t="shared" si="36"/>
        <v>302.1</v>
      </c>
      <c r="CR49" s="83"/>
      <c r="CS49" s="83">
        <f t="shared" si="36"/>
        <v>297.8</v>
      </c>
      <c r="CT49" s="83"/>
      <c r="CU49" s="83">
        <f t="shared" si="36"/>
        <v>295.9</v>
      </c>
      <c r="CV49" s="83"/>
      <c r="CW49" s="83">
        <f t="shared" si="36"/>
        <v>292.3</v>
      </c>
      <c r="CX49" s="83"/>
      <c r="CY49" s="83">
        <f t="shared" si="36"/>
        <v>316.8</v>
      </c>
      <c r="CZ49" s="83"/>
      <c r="DA49" s="83">
        <f t="shared" si="36"/>
        <v>321.6</v>
      </c>
    </row>
    <row r="50" spans="3:105" ht="15" customHeight="1">
      <c r="C50" s="557"/>
      <c r="D50" s="559"/>
      <c r="E50" s="551"/>
      <c r="F50" s="551"/>
      <c r="G50" s="551"/>
      <c r="H50" s="551"/>
      <c r="I50" s="551"/>
      <c r="J50" s="551"/>
      <c r="K50" s="551"/>
      <c r="L50" s="805"/>
      <c r="M50" s="806"/>
      <c r="N50" s="807"/>
      <c r="O50" s="551"/>
      <c r="P50" s="551"/>
      <c r="Q50" s="805"/>
      <c r="R50" s="806"/>
      <c r="S50" s="807"/>
      <c r="T50" s="551"/>
      <c r="U50" s="551"/>
      <c r="V50" s="551"/>
      <c r="W50" s="551"/>
      <c r="X50" s="551"/>
      <c r="Y50" s="551"/>
      <c r="Z50" s="554"/>
      <c r="AK50" s="811"/>
      <c r="AL50" s="811"/>
      <c r="AM50" s="811"/>
      <c r="AN50" s="829"/>
      <c r="AO50" s="828"/>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17" t="str">
        <f>D23&amp;" (W2,15)"</f>
        <v>Reused water (W2,15)</v>
      </c>
      <c r="G51" s="818"/>
      <c r="H51" s="819"/>
      <c r="I51" s="551"/>
      <c r="J51" s="551"/>
      <c r="K51" s="551"/>
      <c r="L51" s="805"/>
      <c r="M51" s="806"/>
      <c r="N51" s="807"/>
      <c r="O51" s="551"/>
      <c r="P51" s="551"/>
      <c r="Q51" s="805"/>
      <c r="R51" s="806"/>
      <c r="S51" s="807"/>
      <c r="T51" s="551"/>
      <c r="U51" s="551"/>
      <c r="V51" s="551"/>
      <c r="W51" s="551"/>
      <c r="X51" s="551"/>
      <c r="Y51" s="551"/>
      <c r="Z51" s="289"/>
      <c r="AA51" s="822" t="str">
        <f>D31&amp;" (W2,22)"</f>
        <v>Agriculture, forestry and fishing (ISIC 01-03) (W2,22)</v>
      </c>
      <c r="AB51" s="818"/>
      <c r="AC51" s="818"/>
      <c r="AD51" s="818"/>
      <c r="AE51" s="818"/>
      <c r="AF51" s="818"/>
      <c r="AG51" s="818"/>
      <c r="AH51" s="800"/>
      <c r="AI51" s="800"/>
      <c r="AJ51" s="801"/>
      <c r="AK51" s="811"/>
      <c r="AL51" s="811"/>
      <c r="AM51" s="811"/>
      <c r="AN51" s="560"/>
      <c r="AO51" s="561"/>
      <c r="AP51" s="551"/>
      <c r="AQ51" s="775"/>
      <c r="AR51" s="775"/>
      <c r="AS51" s="775"/>
      <c r="AT51" s="775"/>
      <c r="AU51" s="775"/>
      <c r="AV51" s="775"/>
      <c r="AW51" s="775"/>
      <c r="AX51" s="775"/>
      <c r="AY51" s="775"/>
      <c r="AZ51" s="775"/>
      <c r="BA51" s="811"/>
      <c r="BD51" s="376">
        <v>20</v>
      </c>
      <c r="BE51" s="563" t="s">
        <v>559</v>
      </c>
      <c r="BF51" s="97" t="s">
        <v>81</v>
      </c>
      <c r="BG51" s="83">
        <f>F28</f>
        <v>913</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1437</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805"/>
      <c r="M52" s="806"/>
      <c r="N52" s="807"/>
      <c r="O52" s="551"/>
      <c r="P52" s="551"/>
      <c r="Q52" s="805"/>
      <c r="R52" s="806"/>
      <c r="S52" s="807"/>
      <c r="T52" s="551"/>
      <c r="U52" s="551"/>
      <c r="V52" s="551"/>
      <c r="W52" s="551"/>
      <c r="X52" s="551"/>
      <c r="Y52" s="551"/>
      <c r="Z52" s="554"/>
      <c r="AA52" s="551"/>
      <c r="AB52" s="551"/>
      <c r="AC52" s="551"/>
      <c r="AD52" s="551"/>
      <c r="AE52" s="551"/>
      <c r="AF52" s="551"/>
      <c r="AG52" s="551"/>
      <c r="AH52" s="551"/>
      <c r="AI52" s="551"/>
      <c r="AJ52" s="551"/>
      <c r="AK52" s="811"/>
      <c r="AL52" s="811"/>
      <c r="AM52" s="811"/>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0</v>
      </c>
      <c r="BH52" s="80"/>
      <c r="BI52" s="80">
        <f aca="true" t="shared" si="39" ref="BI52:DA52">H26-H27</f>
        <v>0</v>
      </c>
      <c r="BJ52" s="80"/>
      <c r="BK52" s="80">
        <f t="shared" si="39"/>
        <v>0</v>
      </c>
      <c r="BL52" s="80"/>
      <c r="BM52" s="80">
        <f t="shared" si="39"/>
        <v>0</v>
      </c>
      <c r="BN52" s="80"/>
      <c r="BO52" s="80">
        <f t="shared" si="39"/>
        <v>0</v>
      </c>
      <c r="BP52" s="80"/>
      <c r="BQ52" s="80">
        <f t="shared" si="39"/>
        <v>0</v>
      </c>
      <c r="BR52" s="80"/>
      <c r="BS52" s="80">
        <f t="shared" si="39"/>
        <v>0</v>
      </c>
      <c r="BT52" s="80"/>
      <c r="BU52" s="80">
        <f t="shared" si="39"/>
        <v>0</v>
      </c>
      <c r="BV52" s="80"/>
      <c r="BW52" s="80">
        <f t="shared" si="39"/>
        <v>0</v>
      </c>
      <c r="BX52" s="80"/>
      <c r="BY52" s="80">
        <f t="shared" si="39"/>
        <v>0</v>
      </c>
      <c r="BZ52" s="80"/>
      <c r="CA52" s="80">
        <f t="shared" si="39"/>
        <v>0</v>
      </c>
      <c r="CB52" s="80"/>
      <c r="CC52" s="80">
        <f t="shared" si="39"/>
        <v>0</v>
      </c>
      <c r="CD52" s="80"/>
      <c r="CE52" s="80">
        <f t="shared" si="39"/>
        <v>0</v>
      </c>
      <c r="CF52" s="80"/>
      <c r="CG52" s="80">
        <f t="shared" si="39"/>
        <v>0</v>
      </c>
      <c r="CH52" s="80"/>
      <c r="CI52" s="80">
        <f t="shared" si="39"/>
        <v>0</v>
      </c>
      <c r="CJ52" s="80"/>
      <c r="CK52" s="80">
        <f t="shared" si="39"/>
        <v>0</v>
      </c>
      <c r="CL52" s="80"/>
      <c r="CM52" s="80">
        <f t="shared" si="39"/>
        <v>0</v>
      </c>
      <c r="CN52" s="80"/>
      <c r="CO52" s="80">
        <f t="shared" si="39"/>
        <v>0</v>
      </c>
      <c r="CP52" s="80"/>
      <c r="CQ52" s="80">
        <f t="shared" si="39"/>
        <v>0</v>
      </c>
      <c r="CR52" s="80"/>
      <c r="CS52" s="80">
        <f t="shared" si="39"/>
        <v>0</v>
      </c>
      <c r="CT52" s="80"/>
      <c r="CU52" s="80">
        <f t="shared" si="39"/>
        <v>1550</v>
      </c>
      <c r="CV52" s="80"/>
      <c r="CW52" s="80">
        <f t="shared" si="39"/>
        <v>0</v>
      </c>
      <c r="CX52" s="80"/>
      <c r="CY52" s="80">
        <f t="shared" si="39"/>
        <v>1350</v>
      </c>
      <c r="CZ52" s="80"/>
      <c r="DA52" s="80">
        <f t="shared" si="39"/>
        <v>0</v>
      </c>
    </row>
    <row r="53" spans="3:105" ht="21.75" customHeight="1">
      <c r="C53" s="557"/>
      <c r="D53" s="549" t="str">
        <f>D16&amp;" (W2,8)"</f>
        <v>Mining and quarrying (ISIC 05-09) (W2,8)</v>
      </c>
      <c r="E53" s="551"/>
      <c r="F53" s="551"/>
      <c r="G53" s="551"/>
      <c r="H53" s="551"/>
      <c r="I53" s="551"/>
      <c r="J53" s="551"/>
      <c r="K53" s="551"/>
      <c r="L53" s="805"/>
      <c r="M53" s="806"/>
      <c r="N53" s="807"/>
      <c r="O53" s="551"/>
      <c r="P53" s="551"/>
      <c r="Q53" s="805"/>
      <c r="R53" s="806"/>
      <c r="S53" s="807"/>
      <c r="T53" s="551"/>
      <c r="U53" s="551"/>
      <c r="V53" s="551"/>
      <c r="W53" s="551"/>
      <c r="X53" s="551"/>
      <c r="Y53" s="551"/>
      <c r="Z53" s="554"/>
      <c r="AA53" s="822" t="str">
        <f>D33&amp;" (W2,24)"</f>
        <v>Mining and quarrying (ISIC 05-09) (W2,24)</v>
      </c>
      <c r="AB53" s="818"/>
      <c r="AC53" s="818"/>
      <c r="AD53" s="818"/>
      <c r="AE53" s="818"/>
      <c r="AF53" s="818"/>
      <c r="AG53" s="818"/>
      <c r="AH53" s="800"/>
      <c r="AI53" s="800"/>
      <c r="AJ53" s="801"/>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805"/>
      <c r="M54" s="806"/>
      <c r="N54" s="807"/>
      <c r="O54" s="551"/>
      <c r="P54" s="551"/>
      <c r="Q54" s="805"/>
      <c r="R54" s="806"/>
      <c r="S54" s="807"/>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805"/>
      <c r="M55" s="806"/>
      <c r="N55" s="807"/>
      <c r="O55" s="551"/>
      <c r="P55" s="551"/>
      <c r="Q55" s="805"/>
      <c r="R55" s="806"/>
      <c r="S55" s="807"/>
      <c r="T55" s="551"/>
      <c r="U55" s="551"/>
      <c r="V55" s="551"/>
      <c r="W55" s="551"/>
      <c r="X55" s="551"/>
      <c r="Y55" s="551"/>
      <c r="Z55" s="554"/>
      <c r="AA55" s="799" t="str">
        <f>D34&amp;" (W2,25)"</f>
        <v>Manufacturing (ISIC 10-33) (W2,25)</v>
      </c>
      <c r="AB55" s="823"/>
      <c r="AC55" s="823"/>
      <c r="AD55" s="823"/>
      <c r="AE55" s="823"/>
      <c r="AF55" s="823"/>
      <c r="AG55" s="823"/>
      <c r="AH55" s="823"/>
      <c r="AI55" s="823"/>
      <c r="AJ55" s="824"/>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805"/>
      <c r="M56" s="806"/>
      <c r="N56" s="807"/>
      <c r="O56" s="551"/>
      <c r="P56" s="551"/>
      <c r="Q56" s="805"/>
      <c r="R56" s="806"/>
      <c r="S56" s="807"/>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14"/>
      <c r="M57" s="815"/>
      <c r="N57" s="816"/>
      <c r="O57" s="551"/>
      <c r="P57" s="551"/>
      <c r="Q57" s="814"/>
      <c r="R57" s="815"/>
      <c r="S57" s="816"/>
      <c r="T57" s="551"/>
      <c r="U57" s="551"/>
      <c r="V57" s="551"/>
      <c r="W57" s="551"/>
      <c r="X57" s="555"/>
      <c r="Y57" s="289"/>
      <c r="Z57" s="289"/>
      <c r="AA57" s="799" t="str">
        <f>D35&amp;" (W2,26)"</f>
        <v>Electricity, gas, steam and air conditioning supply  (ISIC 35) (W2,26)</v>
      </c>
      <c r="AB57" s="823"/>
      <c r="AC57" s="823"/>
      <c r="AD57" s="823"/>
      <c r="AE57" s="823"/>
      <c r="AF57" s="823"/>
      <c r="AG57" s="823"/>
      <c r="AH57" s="823"/>
      <c r="AI57" s="823"/>
      <c r="AJ57" s="824"/>
      <c r="AK57" s="554"/>
      <c r="AL57" s="554"/>
      <c r="AM57" s="554"/>
      <c r="AN57" s="551"/>
      <c r="AO57" s="551"/>
      <c r="AP57" s="551"/>
      <c r="AQ57" s="775"/>
      <c r="AR57" s="775"/>
      <c r="AS57" s="775"/>
      <c r="AT57" s="775"/>
      <c r="AU57" s="775"/>
      <c r="AV57" s="775"/>
      <c r="AW57" s="775"/>
      <c r="AX57" s="775"/>
      <c r="AY57" s="775"/>
      <c r="AZ57" s="775"/>
      <c r="BA57" s="811"/>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802" t="str">
        <f>D24&amp;" - "&amp;D25&amp;"  =(W2,16) - (W2,17)"</f>
        <v>Imports of water - Exports of water  =(W2,16) - (W2,17)</v>
      </c>
      <c r="G58" s="803"/>
      <c r="H58" s="804"/>
      <c r="I58" s="551"/>
      <c r="J58" s="551"/>
      <c r="K58" s="551"/>
      <c r="L58" s="551"/>
      <c r="M58" s="551"/>
      <c r="N58" s="551"/>
      <c r="O58" s="551"/>
      <c r="P58" s="551"/>
      <c r="Q58" s="551"/>
      <c r="R58" s="551"/>
      <c r="S58" s="551"/>
      <c r="T58" s="551"/>
      <c r="U58" s="551"/>
      <c r="V58" s="551"/>
      <c r="W58" s="551"/>
      <c r="X58" s="555"/>
      <c r="Y58" s="289"/>
      <c r="Z58" s="627"/>
      <c r="AB58" s="775"/>
      <c r="AC58" s="775"/>
      <c r="AD58" s="775"/>
      <c r="AE58" s="775"/>
      <c r="AF58" s="775"/>
      <c r="AG58" s="775"/>
      <c r="AH58" s="775"/>
      <c r="AI58" s="775"/>
      <c r="AJ58" s="775"/>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805"/>
      <c r="G59" s="806"/>
      <c r="H59" s="807"/>
      <c r="I59" s="551"/>
      <c r="J59" s="551"/>
      <c r="K59" s="551"/>
      <c r="L59" s="551"/>
      <c r="M59" s="551"/>
      <c r="N59" s="802" t="str">
        <f>D27&amp;" (W2,19)"</f>
        <v>Losses during transport (W2,19)</v>
      </c>
      <c r="O59" s="803"/>
      <c r="P59" s="804"/>
      <c r="Q59" s="551"/>
      <c r="R59" s="551"/>
      <c r="S59" s="551"/>
      <c r="T59" s="551"/>
      <c r="U59" s="551"/>
      <c r="V59" s="551"/>
      <c r="W59" s="551"/>
      <c r="X59" s="555"/>
      <c r="Y59" s="289"/>
      <c r="Z59" s="627"/>
      <c r="AA59" s="799" t="str">
        <f>D37&amp;" (W2,28)"</f>
        <v>Construction (ISIC 41-43) (W2,28)</v>
      </c>
      <c r="AB59" s="823"/>
      <c r="AC59" s="823"/>
      <c r="AD59" s="823"/>
      <c r="AE59" s="823"/>
      <c r="AF59" s="823"/>
      <c r="AG59" s="823"/>
      <c r="AH59" s="823"/>
      <c r="AI59" s="823"/>
      <c r="AJ59" s="824"/>
      <c r="AK59" s="289"/>
      <c r="AL59" s="289"/>
      <c r="AM59" s="554"/>
      <c r="AN59" s="551"/>
      <c r="AO59" s="551"/>
      <c r="AP59" s="551"/>
      <c r="AQ59" s="775"/>
      <c r="AR59" s="775"/>
      <c r="AS59" s="775"/>
      <c r="AT59" s="775"/>
      <c r="AU59" s="775"/>
      <c r="AV59" s="775"/>
      <c r="AW59" s="775"/>
      <c r="AX59" s="775"/>
      <c r="AY59" s="775"/>
      <c r="AZ59" s="775"/>
      <c r="BA59" s="811"/>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08"/>
      <c r="G60" s="809"/>
      <c r="H60" s="810"/>
      <c r="I60" s="551"/>
      <c r="J60" s="551"/>
      <c r="K60" s="551"/>
      <c r="L60" s="551"/>
      <c r="M60" s="551"/>
      <c r="N60" s="814"/>
      <c r="O60" s="815"/>
      <c r="P60" s="816"/>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799" t="str">
        <f>D38&amp;" (W2,29)"</f>
        <v>Other economic activities (W2,29)</v>
      </c>
      <c r="AB61" s="812"/>
      <c r="AC61" s="812"/>
      <c r="AD61" s="812"/>
      <c r="AE61" s="812"/>
      <c r="AF61" s="812"/>
      <c r="AG61" s="812"/>
      <c r="AH61" s="812"/>
      <c r="AI61" s="812"/>
      <c r="AJ61" s="813"/>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1:106" ht="18" customHeight="1">
      <c r="A65" s="212">
        <v>1</v>
      </c>
      <c r="B65" s="181">
        <v>3197</v>
      </c>
      <c r="C65" s="542" t="s">
        <v>635</v>
      </c>
      <c r="D65" s="771" t="s">
        <v>639</v>
      </c>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2"/>
      <c r="AY65" s="772"/>
      <c r="AZ65" s="772"/>
      <c r="BA65" s="773"/>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1:106" ht="18" customHeight="1">
      <c r="A66" s="212">
        <v>0</v>
      </c>
      <c r="B66" s="181">
        <v>3926</v>
      </c>
      <c r="C66" s="542" t="s">
        <v>636</v>
      </c>
      <c r="D66" s="784" t="s">
        <v>640</v>
      </c>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86"/>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1:106" ht="18" customHeight="1">
      <c r="A67" s="212">
        <v>1</v>
      </c>
      <c r="B67" s="181">
        <v>6069</v>
      </c>
      <c r="C67" s="542" t="s">
        <v>637</v>
      </c>
      <c r="D67" s="784" t="s">
        <v>641</v>
      </c>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5"/>
      <c r="AO67" s="785"/>
      <c r="AP67" s="785"/>
      <c r="AQ67" s="785"/>
      <c r="AR67" s="785"/>
      <c r="AS67" s="785"/>
      <c r="AT67" s="785"/>
      <c r="AU67" s="785"/>
      <c r="AV67" s="785"/>
      <c r="AW67" s="785"/>
      <c r="AX67" s="785"/>
      <c r="AY67" s="785"/>
      <c r="AZ67" s="785"/>
      <c r="BA67" s="786"/>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1:106" ht="18" customHeight="1">
      <c r="A68" s="212">
        <v>0</v>
      </c>
      <c r="B68" s="181">
        <v>3199</v>
      </c>
      <c r="C68" s="542" t="s">
        <v>638</v>
      </c>
      <c r="D68" s="784" t="s">
        <v>642</v>
      </c>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6"/>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1:106" ht="18" customHeight="1">
      <c r="A69" s="212">
        <v>1</v>
      </c>
      <c r="B69" s="181">
        <v>3201</v>
      </c>
      <c r="C69" s="542" t="s">
        <v>649</v>
      </c>
      <c r="D69" s="784" t="s">
        <v>643</v>
      </c>
      <c r="E69" s="785"/>
      <c r="F69" s="785"/>
      <c r="G69" s="785"/>
      <c r="H69" s="785"/>
      <c r="I69" s="785"/>
      <c r="J69" s="785"/>
      <c r="K69" s="785"/>
      <c r="L69" s="785"/>
      <c r="M69" s="785"/>
      <c r="N69" s="785"/>
      <c r="O69" s="785"/>
      <c r="P69" s="785"/>
      <c r="Q69" s="785"/>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5"/>
      <c r="BA69" s="786"/>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t="s">
        <v>647</v>
      </c>
      <c r="D70" s="784" t="s">
        <v>648</v>
      </c>
      <c r="E70" s="785"/>
      <c r="F70" s="785"/>
      <c r="G70" s="785"/>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5"/>
      <c r="AY70" s="785"/>
      <c r="AZ70" s="785"/>
      <c r="BA70" s="786"/>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84"/>
      <c r="E71" s="785"/>
      <c r="F71" s="785"/>
      <c r="G71" s="785"/>
      <c r="H71" s="785"/>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5"/>
      <c r="BA71" s="786"/>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84"/>
      <c r="E72" s="785"/>
      <c r="F72" s="785"/>
      <c r="G72" s="785"/>
      <c r="H72" s="785"/>
      <c r="I72" s="785"/>
      <c r="J72" s="785"/>
      <c r="K72" s="785"/>
      <c r="L72" s="785"/>
      <c r="M72" s="785"/>
      <c r="N72" s="785"/>
      <c r="O72" s="785"/>
      <c r="P72" s="785"/>
      <c r="Q72" s="785"/>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5"/>
      <c r="BA72" s="786"/>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84"/>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5"/>
      <c r="BA73" s="786"/>
      <c r="BB73" s="677"/>
      <c r="DB73" s="308"/>
    </row>
    <row r="74" spans="3:106" ht="18" customHeight="1">
      <c r="C74" s="542"/>
      <c r="D74" s="784"/>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5"/>
      <c r="BA74" s="786"/>
      <c r="BB74" s="677"/>
      <c r="DB74" s="308"/>
    </row>
    <row r="75" spans="3:106" ht="18" customHeight="1">
      <c r="C75" s="542"/>
      <c r="D75" s="784"/>
      <c r="E75" s="785"/>
      <c r="F75" s="785"/>
      <c r="G75" s="785"/>
      <c r="H75" s="785"/>
      <c r="I75" s="785"/>
      <c r="J75" s="785"/>
      <c r="K75" s="785"/>
      <c r="L75" s="785"/>
      <c r="M75" s="785"/>
      <c r="N75" s="785"/>
      <c r="O75" s="785"/>
      <c r="P75" s="785"/>
      <c r="Q75" s="785"/>
      <c r="R75" s="785"/>
      <c r="S75" s="785"/>
      <c r="T75" s="785"/>
      <c r="U75" s="785"/>
      <c r="V75" s="785"/>
      <c r="W75" s="785"/>
      <c r="X75" s="785"/>
      <c r="Y75" s="785"/>
      <c r="Z75" s="785"/>
      <c r="AA75" s="785"/>
      <c r="AB75" s="785"/>
      <c r="AC75" s="785"/>
      <c r="AD75" s="785"/>
      <c r="AE75" s="785"/>
      <c r="AF75" s="785"/>
      <c r="AG75" s="785"/>
      <c r="AH75" s="785"/>
      <c r="AI75" s="785"/>
      <c r="AJ75" s="785"/>
      <c r="AK75" s="785"/>
      <c r="AL75" s="785"/>
      <c r="AM75" s="785"/>
      <c r="AN75" s="785"/>
      <c r="AO75" s="785"/>
      <c r="AP75" s="785"/>
      <c r="AQ75" s="785"/>
      <c r="AR75" s="785"/>
      <c r="AS75" s="785"/>
      <c r="AT75" s="785"/>
      <c r="AU75" s="785"/>
      <c r="AV75" s="785"/>
      <c r="AW75" s="785"/>
      <c r="AX75" s="785"/>
      <c r="AY75" s="785"/>
      <c r="AZ75" s="785"/>
      <c r="BA75" s="786"/>
      <c r="BB75" s="677"/>
      <c r="DB75" s="308"/>
    </row>
    <row r="76" spans="3:106" ht="18" customHeight="1">
      <c r="C76" s="542"/>
      <c r="D76" s="784"/>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5"/>
      <c r="BA76" s="786"/>
      <c r="BB76" s="677"/>
      <c r="DB76" s="308"/>
    </row>
    <row r="77" spans="2:106" ht="18" customHeight="1">
      <c r="B77" s="417"/>
      <c r="C77" s="542"/>
      <c r="D77" s="784"/>
      <c r="E77" s="785"/>
      <c r="F77" s="785"/>
      <c r="G77" s="785"/>
      <c r="H77" s="785"/>
      <c r="I77" s="785"/>
      <c r="J77" s="785"/>
      <c r="K77" s="785"/>
      <c r="L77" s="785"/>
      <c r="M77" s="785"/>
      <c r="N77" s="785"/>
      <c r="O77" s="785"/>
      <c r="P77" s="785"/>
      <c r="Q77" s="785"/>
      <c r="R77" s="785"/>
      <c r="S77" s="785"/>
      <c r="T77" s="785"/>
      <c r="U77" s="785"/>
      <c r="V77" s="785"/>
      <c r="W77" s="785"/>
      <c r="X77" s="785"/>
      <c r="Y77" s="785"/>
      <c r="Z77" s="785"/>
      <c r="AA77" s="785"/>
      <c r="AB77" s="785"/>
      <c r="AC77" s="785"/>
      <c r="AD77" s="785"/>
      <c r="AE77" s="785"/>
      <c r="AF77" s="785"/>
      <c r="AG77" s="785"/>
      <c r="AH77" s="785"/>
      <c r="AI77" s="785"/>
      <c r="AJ77" s="785"/>
      <c r="AK77" s="785"/>
      <c r="AL77" s="785"/>
      <c r="AM77" s="785"/>
      <c r="AN77" s="785"/>
      <c r="AO77" s="785"/>
      <c r="AP77" s="785"/>
      <c r="AQ77" s="785"/>
      <c r="AR77" s="785"/>
      <c r="AS77" s="785"/>
      <c r="AT77" s="785"/>
      <c r="AU77" s="785"/>
      <c r="AV77" s="785"/>
      <c r="AW77" s="785"/>
      <c r="AX77" s="785"/>
      <c r="AY77" s="785"/>
      <c r="AZ77" s="785"/>
      <c r="BA77" s="786"/>
      <c r="BB77" s="677"/>
      <c r="DB77" s="308"/>
    </row>
    <row r="78" spans="3:106" ht="18" customHeight="1">
      <c r="C78" s="542"/>
      <c r="D78" s="784"/>
      <c r="E78" s="785"/>
      <c r="F78" s="785"/>
      <c r="G78" s="785"/>
      <c r="H78" s="785"/>
      <c r="I78" s="785"/>
      <c r="J78" s="785"/>
      <c r="K78" s="785"/>
      <c r="L78" s="785"/>
      <c r="M78" s="785"/>
      <c r="N78" s="785"/>
      <c r="O78" s="785"/>
      <c r="P78" s="785"/>
      <c r="Q78" s="785"/>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5"/>
      <c r="BA78" s="786"/>
      <c r="BB78" s="677"/>
      <c r="DB78" s="308"/>
    </row>
    <row r="79" spans="3:106" ht="18" customHeight="1">
      <c r="C79" s="542"/>
      <c r="D79" s="784"/>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785"/>
      <c r="AS79" s="785"/>
      <c r="AT79" s="785"/>
      <c r="AU79" s="785"/>
      <c r="AV79" s="785"/>
      <c r="AW79" s="785"/>
      <c r="AX79" s="785"/>
      <c r="AY79" s="785"/>
      <c r="AZ79" s="785"/>
      <c r="BA79" s="786"/>
      <c r="BB79" s="677"/>
      <c r="DB79" s="308"/>
    </row>
    <row r="80" spans="3:106" ht="18" customHeight="1">
      <c r="C80" s="542"/>
      <c r="D80" s="784"/>
      <c r="E80" s="785"/>
      <c r="F80" s="785"/>
      <c r="G80" s="785"/>
      <c r="H80" s="785"/>
      <c r="I80" s="785"/>
      <c r="J80" s="785"/>
      <c r="K80" s="785"/>
      <c r="L80" s="785"/>
      <c r="M80" s="785"/>
      <c r="N80" s="785"/>
      <c r="O80" s="785"/>
      <c r="P80" s="785"/>
      <c r="Q80" s="785"/>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5"/>
      <c r="BA80" s="786"/>
      <c r="BB80" s="677"/>
      <c r="DB80" s="308"/>
    </row>
    <row r="81" spans="3:106" ht="18" customHeight="1">
      <c r="C81" s="542"/>
      <c r="D81" s="784"/>
      <c r="E81" s="785"/>
      <c r="F81" s="785"/>
      <c r="G81" s="785"/>
      <c r="H81" s="785"/>
      <c r="I81" s="785"/>
      <c r="J81" s="785"/>
      <c r="K81" s="785"/>
      <c r="L81" s="785"/>
      <c r="M81" s="785"/>
      <c r="N81" s="785"/>
      <c r="O81" s="785"/>
      <c r="P81" s="785"/>
      <c r="Q81" s="785"/>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785"/>
      <c r="AP81" s="785"/>
      <c r="AQ81" s="785"/>
      <c r="AR81" s="785"/>
      <c r="AS81" s="785"/>
      <c r="AT81" s="785"/>
      <c r="AU81" s="785"/>
      <c r="AV81" s="785"/>
      <c r="AW81" s="785"/>
      <c r="AX81" s="785"/>
      <c r="AY81" s="785"/>
      <c r="AZ81" s="785"/>
      <c r="BA81" s="786"/>
      <c r="BB81" s="677"/>
      <c r="DB81" s="308"/>
    </row>
    <row r="82" spans="3:54" ht="18" customHeight="1">
      <c r="C82" s="542"/>
      <c r="D82" s="784"/>
      <c r="E82" s="785"/>
      <c r="F82" s="785"/>
      <c r="G82" s="785"/>
      <c r="H82" s="785"/>
      <c r="I82" s="785"/>
      <c r="J82" s="785"/>
      <c r="K82" s="785"/>
      <c r="L82" s="785"/>
      <c r="M82" s="785"/>
      <c r="N82" s="785"/>
      <c r="O82" s="785"/>
      <c r="P82" s="785"/>
      <c r="Q82" s="785"/>
      <c r="R82" s="785"/>
      <c r="S82" s="785"/>
      <c r="T82" s="785"/>
      <c r="U82" s="785"/>
      <c r="V82" s="785"/>
      <c r="W82" s="785"/>
      <c r="X82" s="785"/>
      <c r="Y82" s="785"/>
      <c r="Z82" s="785"/>
      <c r="AA82" s="785"/>
      <c r="AB82" s="785"/>
      <c r="AC82" s="785"/>
      <c r="AD82" s="785"/>
      <c r="AE82" s="785"/>
      <c r="AF82" s="785"/>
      <c r="AG82" s="785"/>
      <c r="AH82" s="785"/>
      <c r="AI82" s="785"/>
      <c r="AJ82" s="785"/>
      <c r="AK82" s="785"/>
      <c r="AL82" s="785"/>
      <c r="AM82" s="785"/>
      <c r="AN82" s="785"/>
      <c r="AO82" s="785"/>
      <c r="AP82" s="785"/>
      <c r="AQ82" s="785"/>
      <c r="AR82" s="785"/>
      <c r="AS82" s="785"/>
      <c r="AT82" s="785"/>
      <c r="AU82" s="785"/>
      <c r="AV82" s="785"/>
      <c r="AW82" s="785"/>
      <c r="AX82" s="785"/>
      <c r="AY82" s="785"/>
      <c r="AZ82" s="785"/>
      <c r="BA82" s="786"/>
      <c r="BB82" s="677"/>
    </row>
    <row r="83" spans="2:54" ht="18" customHeight="1">
      <c r="B83" s="548"/>
      <c r="C83" s="542"/>
      <c r="D83" s="784"/>
      <c r="E83" s="785"/>
      <c r="F83" s="785"/>
      <c r="G83" s="785"/>
      <c r="H83" s="785"/>
      <c r="I83" s="785"/>
      <c r="J83" s="785"/>
      <c r="K83" s="785"/>
      <c r="L83" s="785"/>
      <c r="M83" s="785"/>
      <c r="N83" s="785"/>
      <c r="O83" s="785"/>
      <c r="P83" s="785"/>
      <c r="Q83" s="785"/>
      <c r="R83" s="785"/>
      <c r="S83" s="785"/>
      <c r="T83" s="785"/>
      <c r="U83" s="785"/>
      <c r="V83" s="785"/>
      <c r="W83" s="785"/>
      <c r="X83" s="785"/>
      <c r="Y83" s="785"/>
      <c r="Z83" s="785"/>
      <c r="AA83" s="785"/>
      <c r="AB83" s="785"/>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85"/>
      <c r="AY83" s="785"/>
      <c r="AZ83" s="785"/>
      <c r="BA83" s="786"/>
      <c r="BB83" s="677"/>
    </row>
    <row r="84" spans="3:54" ht="18" customHeight="1">
      <c r="C84" s="542"/>
      <c r="D84" s="784"/>
      <c r="E84" s="785"/>
      <c r="F84" s="785"/>
      <c r="G84" s="785"/>
      <c r="H84" s="785"/>
      <c r="I84" s="785"/>
      <c r="J84" s="785"/>
      <c r="K84" s="785"/>
      <c r="L84" s="785"/>
      <c r="M84" s="785"/>
      <c r="N84" s="785"/>
      <c r="O84" s="785"/>
      <c r="P84" s="785"/>
      <c r="Q84" s="785"/>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785"/>
      <c r="AS84" s="785"/>
      <c r="AT84" s="785"/>
      <c r="AU84" s="785"/>
      <c r="AV84" s="785"/>
      <c r="AW84" s="785"/>
      <c r="AX84" s="785"/>
      <c r="AY84" s="785"/>
      <c r="AZ84" s="785"/>
      <c r="BA84" s="786"/>
      <c r="BB84" s="677"/>
    </row>
    <row r="85" spans="3:54" ht="18" customHeight="1">
      <c r="C85" s="678"/>
      <c r="D85" s="670"/>
      <c r="E85" s="671"/>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c r="AQ85" s="671"/>
      <c r="AR85" s="671"/>
      <c r="AS85" s="671"/>
      <c r="AT85" s="671"/>
      <c r="AU85" s="671"/>
      <c r="AV85" s="671"/>
      <c r="AW85" s="671"/>
      <c r="AX85" s="671"/>
      <c r="AY85" s="671"/>
      <c r="AZ85" s="671"/>
      <c r="BA85" s="672"/>
      <c r="BB85" s="677"/>
    </row>
    <row r="86" spans="1:105" s="308" customFormat="1" ht="20.25" customHeight="1">
      <c r="A86" s="212"/>
      <c r="B86" s="181"/>
      <c r="C86" s="580"/>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c r="AK86" s="564"/>
      <c r="AL86" s="564"/>
      <c r="AM86" s="564"/>
      <c r="AN86" s="564"/>
      <c r="AO86" s="564"/>
      <c r="AP86" s="564"/>
      <c r="AQ86" s="564"/>
      <c r="AR86" s="564"/>
      <c r="AS86" s="564"/>
      <c r="AT86" s="564"/>
      <c r="AU86" s="564"/>
      <c r="AV86" s="564"/>
      <c r="AW86" s="564"/>
      <c r="AX86" s="564"/>
      <c r="AY86" s="564"/>
      <c r="AZ86" s="564"/>
      <c r="BA86" s="564"/>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6"/>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396"/>
      <c r="D88" s="217"/>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ht="16.5" customHeight="1">
      <c r="BB92" s="209"/>
    </row>
    <row r="93" spans="3:39" ht="26.25" customHeight="1">
      <c r="C93" s="414"/>
      <c r="D93" s="414"/>
      <c r="E93" s="414"/>
      <c r="F93" s="414"/>
      <c r="G93" s="336"/>
      <c r="H93" s="341"/>
      <c r="I93" s="419"/>
      <c r="J93" s="341"/>
      <c r="K93" s="419"/>
      <c r="L93" s="341"/>
      <c r="M93" s="419"/>
      <c r="N93" s="341"/>
      <c r="O93" s="419"/>
      <c r="P93" s="341"/>
      <c r="Q93" s="419"/>
      <c r="R93" s="341"/>
      <c r="S93" s="419"/>
      <c r="T93" s="341"/>
      <c r="U93" s="419"/>
      <c r="V93" s="341"/>
      <c r="W93" s="336"/>
      <c r="X93" s="341"/>
      <c r="Y93" s="336"/>
      <c r="Z93" s="341"/>
      <c r="AA93" s="336"/>
      <c r="AB93" s="341"/>
      <c r="AC93" s="336"/>
      <c r="AD93" s="341"/>
      <c r="AE93" s="336"/>
      <c r="AF93" s="341"/>
      <c r="AG93" s="336"/>
      <c r="AH93" s="341"/>
      <c r="AI93" s="419"/>
      <c r="AJ93" s="341"/>
      <c r="AK93" s="336"/>
      <c r="AL93" s="341"/>
      <c r="AM93" s="336"/>
    </row>
    <row r="94" ht="12.75" customHeight="1"/>
    <row r="95" ht="24" customHeight="1"/>
    <row r="97" ht="26.25" customHeight="1"/>
    <row r="99" ht="27.75" customHeight="1"/>
    <row r="101" ht="19.5" customHeight="1"/>
    <row r="103" spans="1:2" ht="16.5" customHeight="1">
      <c r="A103" s="420"/>
      <c r="B103" s="421"/>
    </row>
    <row r="104" spans="1:2" ht="12.75">
      <c r="A104" s="420"/>
      <c r="B104" s="421"/>
    </row>
    <row r="105" spans="1:2" ht="12.75">
      <c r="A105" s="420"/>
      <c r="B105" s="421"/>
    </row>
  </sheetData>
  <sheetProtection formatCells="0" formatColumns="0" formatRows="0" insertColumns="0"/>
  <mergeCells count="50">
    <mergeCell ref="D81:BA81"/>
    <mergeCell ref="D82:BA82"/>
    <mergeCell ref="D83:BA83"/>
    <mergeCell ref="D84:BA84"/>
    <mergeCell ref="D75:BA75"/>
    <mergeCell ref="D76:BA76"/>
    <mergeCell ref="D77:BA77"/>
    <mergeCell ref="D78:BA78"/>
    <mergeCell ref="D79:BA79"/>
    <mergeCell ref="D80:BA80"/>
    <mergeCell ref="D69:BA69"/>
    <mergeCell ref="D70:BA70"/>
    <mergeCell ref="D71:BA71"/>
    <mergeCell ref="D72:BA72"/>
    <mergeCell ref="D73:BA73"/>
    <mergeCell ref="D74:BA74"/>
    <mergeCell ref="D65:BA65"/>
    <mergeCell ref="D66:BA66"/>
    <mergeCell ref="D67:BA67"/>
    <mergeCell ref="D68:BA68"/>
    <mergeCell ref="L49:N57"/>
    <mergeCell ref="AA53:AJ53"/>
    <mergeCell ref="AA59:AJ59"/>
    <mergeCell ref="AQ57:BA57"/>
    <mergeCell ref="AN49:AO50"/>
    <mergeCell ref="Q49:S57"/>
    <mergeCell ref="AA49:AJ49"/>
    <mergeCell ref="AQ48:BA49"/>
    <mergeCell ref="AQ59:BA59"/>
    <mergeCell ref="AA51:AJ51"/>
    <mergeCell ref="AB58:AJ58"/>
    <mergeCell ref="AA57:AJ57"/>
    <mergeCell ref="AA55:AJ55"/>
    <mergeCell ref="U48:V49"/>
    <mergeCell ref="F58:H60"/>
    <mergeCell ref="D42:BB42"/>
    <mergeCell ref="AQ51:BA51"/>
    <mergeCell ref="AA61:AJ61"/>
    <mergeCell ref="AQ46:BA46"/>
    <mergeCell ref="N59:P60"/>
    <mergeCell ref="AQ45:AZ45"/>
    <mergeCell ref="F47:H48"/>
    <mergeCell ref="F51:H51"/>
    <mergeCell ref="AK47:AM52"/>
    <mergeCell ref="C5:AM5"/>
    <mergeCell ref="D43:BB43"/>
    <mergeCell ref="D44:BB44"/>
    <mergeCell ref="D40:BB40"/>
    <mergeCell ref="D41:BB41"/>
    <mergeCell ref="E45:H45"/>
  </mergeCells>
  <conditionalFormatting sqref="BB28:BC28">
    <cfRule type="cellIs" priority="448" dxfId="226" operator="lessThan" stopIfTrue="1">
      <formula>BB26-BB27-(0.01*(BB26-BB27))</formula>
    </cfRule>
  </conditionalFormatting>
  <conditionalFormatting sqref="F10">
    <cfRule type="cellIs" priority="89" dxfId="226" operator="lessThan" stopIfTrue="1">
      <formula>F8+F9-(0.01*(F8+F9))</formula>
    </cfRule>
  </conditionalFormatting>
  <conditionalFormatting sqref="H10">
    <cfRule type="cellIs" priority="88" dxfId="226" operator="lessThan" stopIfTrue="1">
      <formula>H8+H9-(0.01*(H8+H9))</formula>
    </cfRule>
  </conditionalFormatting>
  <conditionalFormatting sqref="J10">
    <cfRule type="cellIs" priority="87" dxfId="226" operator="lessThan" stopIfTrue="1">
      <formula>J8+J9-(0.01*(J8+J9))</formula>
    </cfRule>
  </conditionalFormatting>
  <conditionalFormatting sqref="L10">
    <cfRule type="cellIs" priority="86" dxfId="226" operator="lessThan" stopIfTrue="1">
      <formula>L8+L9-(0.01*(L8+L9))</formula>
    </cfRule>
  </conditionalFormatting>
  <conditionalFormatting sqref="P10">
    <cfRule type="cellIs" priority="85" dxfId="226" operator="lessThan" stopIfTrue="1">
      <formula>P8+P9-(0.01*(P8+P9))</formula>
    </cfRule>
  </conditionalFormatting>
  <conditionalFormatting sqref="R10">
    <cfRule type="cellIs" priority="84" dxfId="226" operator="lessThan" stopIfTrue="1">
      <formula>R8+R9-(0.01*(R8+R9))</formula>
    </cfRule>
  </conditionalFormatting>
  <conditionalFormatting sqref="T10">
    <cfRule type="cellIs" priority="83" dxfId="226" operator="lessThan" stopIfTrue="1">
      <formula>T8+T9-(0.01*(T8+T9))</formula>
    </cfRule>
  </conditionalFormatting>
  <conditionalFormatting sqref="V10">
    <cfRule type="cellIs" priority="82" dxfId="226" operator="lessThan" stopIfTrue="1">
      <formula>V8+V9-(0.01*(V8+V9))</formula>
    </cfRule>
  </conditionalFormatting>
  <conditionalFormatting sqref="X10">
    <cfRule type="cellIs" priority="81" dxfId="226" operator="lessThan" stopIfTrue="1">
      <formula>X8+X9-(0.01*(X8+X9))</formula>
    </cfRule>
  </conditionalFormatting>
  <conditionalFormatting sqref="Z10">
    <cfRule type="cellIs" priority="80" dxfId="226" operator="lessThan" stopIfTrue="1">
      <formula>Z8+Z9-(0.01*(Z8+Z9))</formula>
    </cfRule>
  </conditionalFormatting>
  <conditionalFormatting sqref="AB10">
    <cfRule type="cellIs" priority="79" dxfId="226" operator="lessThan" stopIfTrue="1">
      <formula>AB8+AB9-(0.01*(AB8+AB9))</formula>
    </cfRule>
  </conditionalFormatting>
  <conditionalFormatting sqref="AD10">
    <cfRule type="cellIs" priority="78" dxfId="226" operator="lessThan" stopIfTrue="1">
      <formula>AD8+AD9-(0.01*(AD8+AD9))</formula>
    </cfRule>
  </conditionalFormatting>
  <conditionalFormatting sqref="AJ10">
    <cfRule type="cellIs" priority="76" dxfId="226" operator="lessThan" stopIfTrue="1">
      <formula>AJ8+AJ9-(0.01*(AJ8+AJ9))</formula>
    </cfRule>
  </conditionalFormatting>
  <conditionalFormatting sqref="AH10">
    <cfRule type="cellIs" priority="77" dxfId="226" operator="lessThan" stopIfTrue="1">
      <formula>AH8+AH9-(0.01*(AH8+AH9))</formula>
    </cfRule>
  </conditionalFormatting>
  <conditionalFormatting sqref="AL10">
    <cfRule type="cellIs" priority="75" dxfId="226" operator="lessThan" stopIfTrue="1">
      <formula>AL8+AL9-(0.01*(AL8+AL9))</formula>
    </cfRule>
  </conditionalFormatting>
  <conditionalFormatting sqref="AN10">
    <cfRule type="cellIs" priority="74" dxfId="226" operator="lessThan" stopIfTrue="1">
      <formula>AN8+AN9-(0.01*(AN8+AN9))</formula>
    </cfRule>
  </conditionalFormatting>
  <conditionalFormatting sqref="AP10">
    <cfRule type="cellIs" priority="73" dxfId="226" operator="lessThan" stopIfTrue="1">
      <formula>AP8+AP9-(0.01*(AP8+AP9))</formula>
    </cfRule>
  </conditionalFormatting>
  <conditionalFormatting sqref="AR10">
    <cfRule type="cellIs" priority="72" dxfId="226" operator="lessThan" stopIfTrue="1">
      <formula>AR8+AR9-(0.01*(AR8+AR9))</formula>
    </cfRule>
  </conditionalFormatting>
  <conditionalFormatting sqref="AZ10">
    <cfRule type="cellIs" priority="70" dxfId="226" operator="lessThan" stopIfTrue="1">
      <formula>AZ8+AZ9-(0.01*(AZ8+AZ9))</formula>
    </cfRule>
  </conditionalFormatting>
  <conditionalFormatting sqref="AF10">
    <cfRule type="cellIs" priority="69" dxfId="226" operator="lessThan" stopIfTrue="1">
      <formula>AF8+AF9-(0.01*(AF8+AF9))</formula>
    </cfRule>
  </conditionalFormatting>
  <conditionalFormatting sqref="N10">
    <cfRule type="cellIs" priority="68" dxfId="226" operator="lessThan" stopIfTrue="1">
      <formula>N8+N9-(0.01*(N8+N9))</formula>
    </cfRule>
  </conditionalFormatting>
  <conditionalFormatting sqref="AX10">
    <cfRule type="cellIs" priority="66" dxfId="226" operator="lessThan" stopIfTrue="1">
      <formula>AX8+AX9-(0.01*(AX8+AX9))</formula>
    </cfRule>
  </conditionalFormatting>
  <conditionalFormatting sqref="F28">
    <cfRule type="cellIs" priority="64" dxfId="226" operator="lessThan" stopIfTrue="1">
      <formula>0.99*(F26-F27)</formula>
    </cfRule>
  </conditionalFormatting>
  <conditionalFormatting sqref="F26">
    <cfRule type="cellIs" priority="65" dxfId="226" operator="lessThan" stopIfTrue="1">
      <formula>F10+F22+F23+F24-F25-(0.01*(F10+F22+F23+F24-F25))</formula>
    </cfRule>
  </conditionalFormatting>
  <conditionalFormatting sqref="H28 J28 L28 N28 P28 R28 T28 V28 X28 Z28 AB28 AD28 AF28 AH28 AJ28 AL28 AN28 AP28 AR28 AT28 AV28 AX28 AZ28">
    <cfRule type="cellIs" priority="62" dxfId="226" operator="lessThan" stopIfTrue="1">
      <formula>0.99*(H26-H27)</formula>
    </cfRule>
  </conditionalFormatting>
  <conditionalFormatting sqref="H26 J26 L26 N26 P26 R26 T26 V26 X26 Z26 AB26 AD26 AF26 AH26 AJ26 AL26 AN26 AP26 AR26 AT26 AZ26 AV26 AX26">
    <cfRule type="cellIs" priority="63" dxfId="226" operator="lessThan" stopIfTrue="1">
      <formula>0.99*(H10+H22+H23+H24-H25)</formula>
    </cfRule>
  </conditionalFormatting>
  <conditionalFormatting sqref="BG27">
    <cfRule type="cellIs" priority="5" dxfId="226" operator="lessThan" stopIfTrue="1">
      <formula>#REF!+#REF!</formula>
    </cfRule>
    <cfRule type="cellIs" priority="6" dxfId="226" operator="lessThan" stopIfTrue="1">
      <formula>#REF!+BG30+BG31+BG32+BG34+#REF!</formula>
    </cfRule>
  </conditionalFormatting>
  <conditionalFormatting sqref="BG21">
    <cfRule type="cellIs" priority="7" dxfId="226" operator="lessThan" stopIfTrue="1">
      <formula>#REF!+#REF!</formula>
    </cfRule>
    <cfRule type="cellIs" priority="8" dxfId="226" operator="lessThan" stopIfTrue="1">
      <formula>BG23+BG24+BG25+BG26+#REF!+#REF!</formula>
    </cfRule>
  </conditionalFormatting>
  <conditionalFormatting sqref="BG22">
    <cfRule type="cellIs" priority="9" dxfId="226" operator="lessThan" stopIfTrue="1">
      <formula>#REF!+#REF!</formula>
    </cfRule>
    <cfRule type="cellIs" priority="10" dxfId="226" operator="lessThan" stopIfTrue="1">
      <formula>BG24+BG25+BG26+#REF!+#REF!+#REF!</formula>
    </cfRule>
  </conditionalFormatting>
  <conditionalFormatting sqref="BG8">
    <cfRule type="cellIs" priority="11" dxfId="226" operator="lessThan" stopIfTrue="1">
      <formula>#REF!+#REF!</formula>
    </cfRule>
    <cfRule type="cellIs" priority="12" dxfId="226" operator="lessThan" stopIfTrue="1">
      <formula>BG10+BG11+BG12+BG13+BG14+BG17</formula>
    </cfRule>
  </conditionalFormatting>
  <conditionalFormatting sqref="BG13">
    <cfRule type="cellIs" priority="13" dxfId="226" operator="lessThan" stopIfTrue="1">
      <formula>BG34+#REF!</formula>
    </cfRule>
    <cfRule type="cellIs" priority="14" dxfId="226" operator="lessThan" stopIfTrue="1">
      <formula>BG17+#REF!+#REF!+#REF!+#REF!+#REF!</formula>
    </cfRule>
  </conditionalFormatting>
  <conditionalFormatting sqref="BG12">
    <cfRule type="cellIs" priority="15" dxfId="226" operator="lessThan" stopIfTrue="1">
      <formula>BG31+#REF!</formula>
    </cfRule>
    <cfRule type="cellIs" priority="16" dxfId="226" operator="lessThan" stopIfTrue="1">
      <formula>BG14+BG17+#REF!+#REF!+#REF!+#REF!</formula>
    </cfRule>
  </conditionalFormatting>
  <conditionalFormatting sqref="BG36:BG37">
    <cfRule type="cellIs" priority="17" dxfId="226" operator="lessThan" stopIfTrue="1">
      <formula>#REF!+BG45</formula>
    </cfRule>
    <cfRule type="cellIs" priority="18" dxfId="226" operator="lessThan" stopIfTrue="1">
      <formula>#REF!+#REF!+#REF!+#REF!+#REF!+#REF!</formula>
    </cfRule>
  </conditionalFormatting>
  <conditionalFormatting sqref="BG38">
    <cfRule type="cellIs" priority="19" dxfId="226" operator="lessThan" stopIfTrue="1">
      <formula>#REF!+BG47</formula>
    </cfRule>
    <cfRule type="cellIs" priority="20" dxfId="226" operator="lessThan" stopIfTrue="1">
      <formula>#REF!+#REF!+#REF!+#REF!+#REF!+#REF!</formula>
    </cfRule>
  </conditionalFormatting>
  <conditionalFormatting sqref="BG53:DA53 BG50:DA50 BG44:DA44 BG47:DA47">
    <cfRule type="cellIs" priority="21" dxfId="226"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22" dxfId="226" operator="equal" stopIfTrue="1">
      <formula>"&gt; 25%"</formula>
    </cfRule>
  </conditionalFormatting>
  <conditionalFormatting sqref="BI8:BI38">
    <cfRule type="cellIs" priority="23" dxfId="226" operator="equal" stopIfTrue="1">
      <formula>"&gt; 100%"</formula>
    </cfRule>
  </conditionalFormatting>
  <conditionalFormatting sqref="BG31">
    <cfRule type="cellIs" priority="24" dxfId="226" operator="lessThan" stopIfTrue="1">
      <formula>#REF!+#REF!</formula>
    </cfRule>
    <cfRule type="cellIs" priority="25" dxfId="226" operator="lessThan" stopIfTrue="1">
      <formula>BG34+#REF!+#REF!+#REF!+#REF!+#REF!</formula>
    </cfRule>
  </conditionalFormatting>
  <conditionalFormatting sqref="BG30">
    <cfRule type="cellIs" priority="26" dxfId="226" operator="lessThan" stopIfTrue="1">
      <formula>#REF!+#REF!</formula>
    </cfRule>
    <cfRule type="cellIs" priority="27" dxfId="226" operator="lessThan" stopIfTrue="1">
      <formula>BG32+BG34+#REF!+#REF!+#REF!+#REF!</formula>
    </cfRule>
  </conditionalFormatting>
  <conditionalFormatting sqref="BG32:BG33">
    <cfRule type="cellIs" priority="28" dxfId="226" operator="lessThan" stopIfTrue="1">
      <formula>#REF!+#REF!</formula>
    </cfRule>
    <cfRule type="cellIs" priority="29" dxfId="226" operator="lessThan" stopIfTrue="1">
      <formula>#REF!+#REF!+#REF!+#REF!+#REF!+#REF!</formula>
    </cfRule>
  </conditionalFormatting>
  <conditionalFormatting sqref="BG34:BG35">
    <cfRule type="cellIs" priority="30" dxfId="226" operator="lessThan" stopIfTrue="1">
      <formula>#REF!+BG44</formula>
    </cfRule>
    <cfRule type="cellIs" priority="31" dxfId="226" operator="lessThan" stopIfTrue="1">
      <formula>BG38+#REF!+#REF!+#REF!+#REF!+#REF!</formula>
    </cfRule>
  </conditionalFormatting>
  <conditionalFormatting sqref="BG25">
    <cfRule type="cellIs" priority="32" dxfId="226" operator="lessThan" stopIfTrue="1">
      <formula>BG43+#REF!</formula>
    </cfRule>
    <cfRule type="cellIs" priority="33" dxfId="226" operator="lessThan" stopIfTrue="1">
      <formula>#REF!+#REF!+#REF!+#REF!+#REF!+BG40</formula>
    </cfRule>
  </conditionalFormatting>
  <conditionalFormatting sqref="BG26">
    <cfRule type="cellIs" priority="34" dxfId="226" operator="lessThan" stopIfTrue="1">
      <formula>BG44+#REF!</formula>
    </cfRule>
    <cfRule type="cellIs" priority="35" dxfId="226" operator="lessThan" stopIfTrue="1">
      <formula>#REF!+#REF!+#REF!+#REF!+BG40+BG42</formula>
    </cfRule>
  </conditionalFormatting>
  <conditionalFormatting sqref="BG24">
    <cfRule type="cellIs" priority="36" dxfId="226" operator="lessThan" stopIfTrue="1">
      <formula>BG42+#REF!</formula>
    </cfRule>
    <cfRule type="cellIs" priority="37" dxfId="226" operator="lessThan" stopIfTrue="1">
      <formula>BG26+#REF!+#REF!+#REF!+#REF!+#REF!</formula>
    </cfRule>
  </conditionalFormatting>
  <conditionalFormatting sqref="BG23">
    <cfRule type="cellIs" priority="38" dxfId="226" operator="lessThan" stopIfTrue="1">
      <formula>BG40+#REF!</formula>
    </cfRule>
    <cfRule type="cellIs" priority="39" dxfId="226" operator="lessThan" stopIfTrue="1">
      <formula>BG25+BG26+#REF!+#REF!+#REF!+#REF!</formula>
    </cfRule>
  </conditionalFormatting>
  <conditionalFormatting sqref="CW8:CW38 CY8:CY38">
    <cfRule type="cellIs" priority="4" dxfId="226" operator="equal" stopIfTrue="1">
      <formula>"&gt; 25%"</formula>
    </cfRule>
  </conditionalFormatting>
  <conditionalFormatting sqref="BG9">
    <cfRule type="cellIs" priority="40" dxfId="226" operator="lessThan" stopIfTrue="1">
      <formula>#REF!+#REF!</formula>
    </cfRule>
    <cfRule type="cellIs" priority="41" dxfId="226" operator="lessThan" stopIfTrue="1">
      <formula>#REF!+BG12+BG13+BG14+BG17+#REF!</formula>
    </cfRule>
  </conditionalFormatting>
  <conditionalFormatting sqref="BG10">
    <cfRule type="cellIs" priority="42" dxfId="226" operator="lessThan" stopIfTrue="1">
      <formula>#REF!+#REF!</formula>
    </cfRule>
    <cfRule type="cellIs" priority="43" dxfId="226" operator="lessThan" stopIfTrue="1">
      <formula>BG12+BG13+BG14+BG17+#REF!+#REF!</formula>
    </cfRule>
  </conditionalFormatting>
  <conditionalFormatting sqref="BG11">
    <cfRule type="cellIs" priority="44" dxfId="226" operator="lessThan" stopIfTrue="1">
      <formula>#REF!+#REF!</formula>
    </cfRule>
    <cfRule type="cellIs" priority="45" dxfId="226" operator="lessThan" stopIfTrue="1">
      <formula>BG13+BG14+BG17+#REF!+#REF!+#REF!</formula>
    </cfRule>
  </conditionalFormatting>
  <conditionalFormatting sqref="BG19:BG20">
    <cfRule type="cellIs" priority="46" dxfId="226" operator="lessThan" stopIfTrue="1">
      <formula>#REF!+#REF!</formula>
    </cfRule>
    <cfRule type="cellIs" priority="47" dxfId="226" operator="lessThan" stopIfTrue="1">
      <formula>#REF!+BG23+BG24+BG25+BG26+#REF!</formula>
    </cfRule>
  </conditionalFormatting>
  <conditionalFormatting sqref="BG28">
    <cfRule type="cellIs" priority="48" dxfId="226" operator="lessThan" stopIfTrue="1">
      <formula>#REF!+#REF!</formula>
    </cfRule>
    <cfRule type="cellIs" priority="49" dxfId="226" operator="lessThan" stopIfTrue="1">
      <formula>BG30+BG31+BG32+BG34+#REF!+#REF!</formula>
    </cfRule>
  </conditionalFormatting>
  <conditionalFormatting sqref="BG29">
    <cfRule type="cellIs" priority="50" dxfId="226" operator="lessThan" stopIfTrue="1">
      <formula>#REF!+#REF!</formula>
    </cfRule>
    <cfRule type="cellIs" priority="51" dxfId="226" operator="lessThan" stopIfTrue="1">
      <formula>BG31+BG32+BG34+#REF!+#REF!+#REF!</formula>
    </cfRule>
  </conditionalFormatting>
  <conditionalFormatting sqref="BG16">
    <cfRule type="cellIs" priority="52" dxfId="226" operator="lessThan" stopIfTrue="1">
      <formula>BG39+#REF!</formula>
    </cfRule>
    <cfRule type="cellIs" priority="53" dxfId="226" operator="lessThan" stopIfTrue="1">
      <formula>#REF!+#REF!+#REF!+#REF!+#REF!+BG34</formula>
    </cfRule>
  </conditionalFormatting>
  <conditionalFormatting sqref="BG14">
    <cfRule type="cellIs" priority="54" dxfId="226" operator="lessThan" stopIfTrue="1">
      <formula>BG36+#REF!</formula>
    </cfRule>
    <cfRule type="cellIs" priority="55" dxfId="226" operator="lessThan" stopIfTrue="1">
      <formula>#REF!+#REF!+#REF!+#REF!+#REF!+BG31</formula>
    </cfRule>
  </conditionalFormatting>
  <conditionalFormatting sqref="BG17">
    <cfRule type="cellIs" priority="56" dxfId="226" operator="lessThan" stopIfTrue="1">
      <formula>BG38+#REF!</formula>
    </cfRule>
    <cfRule type="cellIs" priority="57" dxfId="226" operator="lessThan" stopIfTrue="1">
      <formula>#REF!+#REF!+#REF!+#REF!+BG31+BG34</formula>
    </cfRule>
  </conditionalFormatting>
  <conditionalFormatting sqref="BG18">
    <cfRule type="cellIs" priority="58" dxfId="226" operator="lessThan" stopIfTrue="1">
      <formula>BG39+#REF!</formula>
    </cfRule>
    <cfRule type="cellIs" priority="59" dxfId="226" operator="lessThan" stopIfTrue="1">
      <formula>#REF!+#REF!+#REF!+#REF!+BG32+BG36</formula>
    </cfRule>
  </conditionalFormatting>
  <conditionalFormatting sqref="BG15">
    <cfRule type="cellIs" priority="60" dxfId="226" operator="lessThan" stopIfTrue="1">
      <formula>BG38+#REF!</formula>
    </cfRule>
    <cfRule type="cellIs" priority="61" dxfId="226" operator="lessThan" stopIfTrue="1">
      <formula>#REF!+#REF!+#REF!+#REF!+#REF!+BG32</formula>
    </cfRule>
  </conditionalFormatting>
  <conditionalFormatting sqref="AV10">
    <cfRule type="cellIs" priority="3" dxfId="226" operator="lessThan" stopIfTrue="1">
      <formula>AV8+AV9-(0.01*(AV8+AV9))</formula>
    </cfRule>
  </conditionalFormatting>
  <conditionalFormatting sqref="AT10">
    <cfRule type="cellIs" priority="2" dxfId="226" operator="lessThan" stopIfTrue="1">
      <formula>AT8+AT9-(0.01*(AT8+AT9))</formula>
    </cfRule>
  </conditionalFormatting>
  <conditionalFormatting sqref="AT12 AV12 AX12 AZ12">
    <cfRule type="cellIs" priority="1" dxfId="227" operator="lessThan" stopIfTrue="1">
      <formula>0.99*(AT13+AT14)</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ignoredErrors>
    <ignoredError sqref="AL10:AX26"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55" workbookViewId="0" topLeftCell="C1">
      <selection activeCell="F8" sqref="F8"/>
    </sheetView>
  </sheetViews>
  <sheetFormatPr defaultColWidth="9.33203125" defaultRowHeight="12.75"/>
  <cols>
    <col min="1" max="1" width="7.16015625" style="180" hidden="1" customWidth="1"/>
    <col min="2" max="2" width="11.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v>388</v>
      </c>
      <c r="C3" s="337" t="s">
        <v>311</v>
      </c>
      <c r="D3" s="30" t="s">
        <v>410</v>
      </c>
      <c r="E3" s="422"/>
      <c r="F3" s="423"/>
      <c r="G3" s="424"/>
      <c r="H3" s="425"/>
      <c r="I3" s="426"/>
      <c r="J3" s="425"/>
      <c r="K3" s="426"/>
      <c r="L3" s="425"/>
      <c r="M3" s="426"/>
      <c r="N3" s="425"/>
      <c r="O3" s="426"/>
      <c r="P3" s="425"/>
      <c r="Q3" s="426"/>
      <c r="R3" s="425"/>
      <c r="S3" s="426"/>
      <c r="T3" s="425"/>
      <c r="U3" s="426"/>
      <c r="V3" s="425"/>
      <c r="W3" s="424"/>
      <c r="X3" s="425"/>
      <c r="Y3" s="427"/>
      <c r="Z3" s="108"/>
      <c r="AA3" s="427"/>
      <c r="AB3" s="55"/>
      <c r="AC3" s="203" t="s">
        <v>644</v>
      </c>
      <c r="AD3" s="339"/>
      <c r="AE3" s="338"/>
      <c r="AF3" s="339"/>
      <c r="AG3" s="340"/>
      <c r="AH3" s="425"/>
      <c r="AI3" s="31"/>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34"/>
      <c r="BL3" s="834"/>
      <c r="BM3" s="834"/>
      <c r="BN3" s="435"/>
      <c r="BO3" s="435"/>
      <c r="BP3" s="435"/>
      <c r="BQ3" s="834"/>
      <c r="BR3" s="834"/>
      <c r="BS3" s="834"/>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796" t="s">
        <v>205</v>
      </c>
      <c r="D5" s="796"/>
      <c r="E5" s="835"/>
      <c r="F5" s="835"/>
      <c r="G5" s="835"/>
      <c r="H5" s="835"/>
      <c r="I5" s="798"/>
      <c r="J5" s="798"/>
      <c r="K5" s="798"/>
      <c r="L5" s="798"/>
      <c r="M5" s="798"/>
      <c r="N5" s="798"/>
      <c r="O5" s="798"/>
      <c r="P5" s="798"/>
      <c r="Q5" s="798"/>
      <c r="R5" s="798"/>
      <c r="S5" s="798"/>
      <c r="T5" s="798"/>
      <c r="U5" s="798"/>
      <c r="V5" s="798"/>
      <c r="W5" s="798"/>
      <c r="X5" s="835"/>
      <c r="Y5" s="798"/>
      <c r="Z5" s="835"/>
      <c r="AA5" s="798"/>
      <c r="AB5" s="835"/>
      <c r="AC5" s="798"/>
      <c r="AD5" s="835"/>
      <c r="AE5" s="798"/>
      <c r="AF5" s="835"/>
      <c r="AG5" s="798"/>
      <c r="AH5" s="835"/>
      <c r="AI5" s="798"/>
      <c r="AJ5" s="798"/>
      <c r="AK5" s="798"/>
      <c r="AL5" s="835"/>
      <c r="AM5" s="798"/>
      <c r="AN5" s="835"/>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v>278</v>
      </c>
      <c r="G8" s="585" t="s">
        <v>635</v>
      </c>
      <c r="H8" s="602"/>
      <c r="I8" s="585"/>
      <c r="J8" s="602">
        <v>289</v>
      </c>
      <c r="K8" s="585" t="s">
        <v>635</v>
      </c>
      <c r="L8" s="602"/>
      <c r="M8" s="585"/>
      <c r="N8" s="602"/>
      <c r="O8" s="585"/>
      <c r="P8" s="602"/>
      <c r="Q8" s="585"/>
      <c r="R8" s="602">
        <v>278</v>
      </c>
      <c r="S8" s="585" t="s">
        <v>635</v>
      </c>
      <c r="T8" s="602">
        <v>278</v>
      </c>
      <c r="U8" s="585" t="s">
        <v>635</v>
      </c>
      <c r="V8" s="602">
        <v>277</v>
      </c>
      <c r="W8" s="585" t="s">
        <v>635</v>
      </c>
      <c r="X8" s="602">
        <v>293</v>
      </c>
      <c r="Y8" s="585" t="s">
        <v>635</v>
      </c>
      <c r="Z8" s="602">
        <v>280</v>
      </c>
      <c r="AA8" s="585" t="s">
        <v>635</v>
      </c>
      <c r="AB8" s="602">
        <v>296</v>
      </c>
      <c r="AC8" s="585" t="s">
        <v>635</v>
      </c>
      <c r="AD8" s="602">
        <v>294</v>
      </c>
      <c r="AE8" s="585" t="s">
        <v>635</v>
      </c>
      <c r="AF8" s="602">
        <v>291.9</v>
      </c>
      <c r="AG8" s="585"/>
      <c r="AH8" s="602">
        <v>291.8</v>
      </c>
      <c r="AI8" s="585" t="s">
        <v>635</v>
      </c>
      <c r="AJ8" s="602">
        <v>299</v>
      </c>
      <c r="AK8" s="585" t="s">
        <v>635</v>
      </c>
      <c r="AL8" s="602">
        <v>283.7</v>
      </c>
      <c r="AM8" s="585" t="s">
        <v>635</v>
      </c>
      <c r="AN8" s="602">
        <v>303</v>
      </c>
      <c r="AO8" s="585" t="s">
        <v>635</v>
      </c>
      <c r="AP8" s="602">
        <v>302</v>
      </c>
      <c r="AQ8" s="585" t="s">
        <v>635</v>
      </c>
      <c r="AR8" s="602">
        <v>297.8</v>
      </c>
      <c r="AS8" s="585" t="s">
        <v>635</v>
      </c>
      <c r="AT8" s="602">
        <v>295.9</v>
      </c>
      <c r="AU8" s="585" t="s">
        <v>635</v>
      </c>
      <c r="AV8" s="602">
        <v>292.3</v>
      </c>
      <c r="AW8" s="585" t="s">
        <v>635</v>
      </c>
      <c r="AX8" s="602">
        <v>316.8</v>
      </c>
      <c r="AY8" s="585" t="s">
        <v>635</v>
      </c>
      <c r="AZ8" s="602">
        <v>321.6</v>
      </c>
      <c r="BA8" s="585" t="s">
        <v>635</v>
      </c>
      <c r="BC8" s="191"/>
      <c r="BD8" s="639">
        <v>1</v>
      </c>
      <c r="BE8" s="646" t="s">
        <v>15</v>
      </c>
      <c r="BF8" s="594" t="s">
        <v>313</v>
      </c>
      <c r="BG8" s="245" t="s">
        <v>85</v>
      </c>
      <c r="BH8" s="607"/>
      <c r="BI8" s="80" t="str">
        <f>IF(OR(ISBLANK(F8),ISBLANK(H8)),"N/A",IF(ABS((H8-F8)/F8)&gt;1,"&gt; 100%","ok"))</f>
        <v>N/A</v>
      </c>
      <c r="BJ8" s="607"/>
      <c r="BK8" s="83" t="str">
        <f>IF(OR(ISBLANK(H8),ISBLANK(J8)),"N/A",IF(ABS((J8-H8)/H8)&gt;0.25,"&gt; 25%","ok"))</f>
        <v>N/A</v>
      </c>
      <c r="BL8" s="83"/>
      <c r="BM8" s="83" t="str">
        <f>IF(OR(ISBLANK(J8),ISBLANK(L8)),"N/A",IF(ABS((L8-J8)/J8)&gt;0.25,"&gt; 25%","ok"))</f>
        <v>N/A</v>
      </c>
      <c r="BN8" s="83"/>
      <c r="BO8" s="83" t="str">
        <f>IF(OR(ISBLANK(L8),ISBLANK(N8)),"N/A",IF(ABS((N8-L8)/L8)&gt;0.25,"&gt; 25%","ok"))</f>
        <v>N/A</v>
      </c>
      <c r="BP8" s="83"/>
      <c r="BQ8" s="83" t="str">
        <f>IF(OR(ISBLANK(N8),ISBLANK(P8)),"N/A",IF(ABS((P8-N8)/N8)&gt;0.25,"&gt; 25%","ok"))</f>
        <v>N/A</v>
      </c>
      <c r="BR8" s="83"/>
      <c r="BS8" s="83" t="str">
        <f>IF(OR(ISBLANK(P8),ISBLANK(R8)),"N/A",IF(ABS((R8-P8)/P8)&gt;0.25,"&gt; 25%","ok"))</f>
        <v>N/A</v>
      </c>
      <c r="BT8" s="83"/>
      <c r="BU8" s="83" t="str">
        <f>IF(OR(ISBLANK(R8),ISBLANK(T8)),"N/A",IF(ABS((T8-R8)/R8)&gt;0.25,"&gt; 25%","ok"))</f>
        <v>ok</v>
      </c>
      <c r="BV8" s="83"/>
      <c r="BW8" s="83" t="str">
        <f>IF(OR(ISBLANK(T8),ISBLANK(V8)),"N/A",IF(ABS((V8-T8)/T8)&gt;0.25,"&gt; 25%","ok"))</f>
        <v>ok</v>
      </c>
      <c r="BX8" s="83"/>
      <c r="BY8" s="83" t="str">
        <f>IF(OR(ISBLANK(V8),ISBLANK(X8)),"N/A",IF(ABS((X8-V8)/V8)&gt;0.25,"&gt; 25%","ok"))</f>
        <v>ok</v>
      </c>
      <c r="BZ8" s="83"/>
      <c r="CA8" s="83" t="str">
        <f>IF(OR(ISBLANK(X8),ISBLANK(Z8)),"N/A",IF(ABS((Z8-X8)/X8)&gt;0.25,"&gt; 25%","ok"))</f>
        <v>ok</v>
      </c>
      <c r="CB8" s="83"/>
      <c r="CC8" s="83" t="str">
        <f>IF(OR(ISBLANK(Z8),ISBLANK(AB8)),"N/A",IF(ABS((AB8-Z8)/Z8)&gt;0.25,"&gt; 25%","ok"))</f>
        <v>ok</v>
      </c>
      <c r="CD8" s="83"/>
      <c r="CE8" s="83" t="str">
        <f>IF(OR(ISBLANK(AB8),ISBLANK(AD8)),"N/A",IF(ABS((AD8-AB8)/AB8)&gt;0.25,"&gt; 25%","ok"))</f>
        <v>ok</v>
      </c>
      <c r="CF8" s="83"/>
      <c r="CG8" s="83" t="str">
        <f>IF(OR(ISBLANK(AD8),ISBLANK(AF8)),"N/A",IF(ABS((AF8-AD8)/AD8)&gt;0.25,"&gt; 25%","ok"))</f>
        <v>ok</v>
      </c>
      <c r="CH8" s="83"/>
      <c r="CI8" s="83" t="str">
        <f>IF(OR(ISBLANK(AF8),ISBLANK(AH8)),"N/A",IF(ABS((AH8-AF8)/AF8)&gt;0.25,"&gt; 25%","ok"))</f>
        <v>ok</v>
      </c>
      <c r="CJ8" s="83"/>
      <c r="CK8" s="83" t="str">
        <f>IF(OR(ISBLANK(AH8),ISBLANK(AJ8)),"N/A",IF(ABS((AJ8-AH8)/AH8)&gt;0.25,"&gt; 25%","ok"))</f>
        <v>ok</v>
      </c>
      <c r="CL8" s="83"/>
      <c r="CM8" s="83" t="str">
        <f>IF(OR(ISBLANK(AJ8),ISBLANK(AL8)),"N/A",IF(ABS((AL8-AJ8)/AJ8)&gt;0.25,"&gt; 25%","ok"))</f>
        <v>ok</v>
      </c>
      <c r="CN8" s="83"/>
      <c r="CO8" s="83" t="str">
        <f>IF(OR(ISBLANK(AL8),ISBLANK(AN8)),"N/A",IF(ABS((AN8-AL8)/AL8)&gt;0.25,"&gt; 25%","ok"))</f>
        <v>ok</v>
      </c>
      <c r="CP8" s="83"/>
      <c r="CQ8" s="83" t="str">
        <f>IF(OR(ISBLANK(AN8),ISBLANK(AP8)),"N/A",IF(ABS((AP8-AN8)/AN8)&gt;0.25,"&gt; 25%","ok"))</f>
        <v>ok</v>
      </c>
      <c r="CR8" s="83"/>
      <c r="CS8" s="83" t="str">
        <f>IF(OR(ISBLANK(AP8),ISBLANK(AR8)),"N/A",IF(ABS((AR8-AP8)/AP8)&gt;0.25,"&gt; 25%","ok"))</f>
        <v>ok</v>
      </c>
      <c r="CT8" s="83"/>
      <c r="CU8" s="83" t="str">
        <f>IF(OR(ISBLANK(AR8),ISBLANK(AT8)),"N/A",IF(ABS((AT8-AR8)/AR8)&gt;0.25,"&gt; 25%","ok"))</f>
        <v>ok</v>
      </c>
      <c r="CV8" s="83"/>
      <c r="CW8" s="83" t="str">
        <f>IF(OR(ISBLANK(AT8),ISBLANK(AV8)),"N/A",IF(ABS((AV8-AT8)/AT8)&gt;0.25,"&gt; 25%","ok"))</f>
        <v>ok</v>
      </c>
      <c r="CX8" s="83"/>
      <c r="CY8" s="83" t="str">
        <f>IF(OR(ISBLANK(AV8),ISBLANK(AX8)),"N/A",IF(ABS((AX8-AV8)/AV8)&gt;0.25,"&gt; 25%","ok"))</f>
        <v>ok</v>
      </c>
      <c r="CZ8" s="83"/>
      <c r="DA8" s="83" t="str">
        <f>IF(OR(ISBLANK(AX8),ISBLANK(AZ8)),"N/A",IF(ABS((AZ8-AX8)/AX8)&gt;0.25,"&gt; 25%","ok"))</f>
        <v>ok</v>
      </c>
    </row>
    <row r="9" spans="1:105" s="202" customFormat="1" ht="15" customHeight="1">
      <c r="A9" s="180"/>
      <c r="B9" s="237">
        <v>2416</v>
      </c>
      <c r="C9" s="255">
        <v>2</v>
      </c>
      <c r="D9" s="252" t="s">
        <v>16</v>
      </c>
      <c r="E9" s="255" t="s">
        <v>313</v>
      </c>
      <c r="F9" s="602"/>
      <c r="G9" s="585"/>
      <c r="H9" s="602"/>
      <c r="I9" s="585"/>
      <c r="J9" s="602">
        <v>209</v>
      </c>
      <c r="K9" s="585" t="s">
        <v>635</v>
      </c>
      <c r="L9" s="602"/>
      <c r="M9" s="585"/>
      <c r="N9" s="602"/>
      <c r="O9" s="585"/>
      <c r="P9" s="602"/>
      <c r="Q9" s="585"/>
      <c r="R9" s="602">
        <v>189</v>
      </c>
      <c r="S9" s="585" t="s">
        <v>635</v>
      </c>
      <c r="T9" s="602">
        <v>184</v>
      </c>
      <c r="U9" s="585" t="s">
        <v>635</v>
      </c>
      <c r="V9" s="602">
        <v>182</v>
      </c>
      <c r="W9" s="585" t="s">
        <v>635</v>
      </c>
      <c r="X9" s="602">
        <v>197</v>
      </c>
      <c r="Y9" s="585" t="s">
        <v>635</v>
      </c>
      <c r="Z9" s="602">
        <v>185</v>
      </c>
      <c r="AA9" s="585" t="s">
        <v>635</v>
      </c>
      <c r="AB9" s="602">
        <v>202</v>
      </c>
      <c r="AC9" s="585" t="s">
        <v>635</v>
      </c>
      <c r="AD9" s="602">
        <v>199</v>
      </c>
      <c r="AE9" s="585" t="s">
        <v>635</v>
      </c>
      <c r="AF9" s="602">
        <v>193</v>
      </c>
      <c r="AG9" s="585"/>
      <c r="AH9" s="602">
        <v>197</v>
      </c>
      <c r="AI9" s="585" t="s">
        <v>635</v>
      </c>
      <c r="AJ9" s="602">
        <v>206</v>
      </c>
      <c r="AK9" s="585" t="s">
        <v>635</v>
      </c>
      <c r="AL9" s="602">
        <v>187</v>
      </c>
      <c r="AM9" s="585" t="s">
        <v>635</v>
      </c>
      <c r="AN9" s="602">
        <v>200</v>
      </c>
      <c r="AO9" s="585" t="s">
        <v>635</v>
      </c>
      <c r="AP9" s="602">
        <v>208</v>
      </c>
      <c r="AQ9" s="585" t="s">
        <v>635</v>
      </c>
      <c r="AR9" s="602">
        <f>+AR8-AR10</f>
        <v>203.5</v>
      </c>
      <c r="AS9" s="585" t="s">
        <v>635</v>
      </c>
      <c r="AT9" s="602">
        <f>+AT8-AT10</f>
        <v>213.09999999999997</v>
      </c>
      <c r="AU9" s="585" t="s">
        <v>635</v>
      </c>
      <c r="AV9" s="602">
        <f>+AV8-AV10</f>
        <v>208.70000000000002</v>
      </c>
      <c r="AW9" s="585" t="s">
        <v>635</v>
      </c>
      <c r="AX9" s="602">
        <f>+AX8-AX10</f>
        <v>230.4</v>
      </c>
      <c r="AY9" s="585" t="s">
        <v>635</v>
      </c>
      <c r="AZ9" s="602">
        <f>+AZ8-AZ10</f>
        <v>234.8</v>
      </c>
      <c r="BA9" s="585" t="s">
        <v>635</v>
      </c>
      <c r="BC9" s="191"/>
      <c r="BD9" s="594">
        <v>2</v>
      </c>
      <c r="BE9" s="647" t="s">
        <v>16</v>
      </c>
      <c r="BF9" s="594" t="s">
        <v>313</v>
      </c>
      <c r="BG9" s="82" t="s">
        <v>85</v>
      </c>
      <c r="BH9" s="607"/>
      <c r="BI9" s="80" t="str">
        <f>IF(OR(ISBLANK(F9),ISBLANK(H9)),"N/A",IF(ABS((H9-F9)/F9)&gt;1,"&gt; 100%","ok"))</f>
        <v>N/A</v>
      </c>
      <c r="BJ9" s="607"/>
      <c r="BK9" s="83" t="str">
        <f>IF(OR(ISBLANK(H9),ISBLANK(J9)),"N/A",IF(ABS((J9-H9)/H9)&gt;0.25,"&gt; 25%","ok"))</f>
        <v>N/A</v>
      </c>
      <c r="BL9" s="83"/>
      <c r="BM9" s="83" t="str">
        <f>IF(OR(ISBLANK(J9),ISBLANK(L9)),"N/A",IF(ABS((L9-J9)/J9)&gt;0.25,"&gt; 25%","ok"))</f>
        <v>N/A</v>
      </c>
      <c r="BN9" s="83"/>
      <c r="BO9" s="83" t="str">
        <f>IF(OR(ISBLANK(L9),ISBLANK(N9)),"N/A",IF(ABS((N9-L9)/L9)&gt;0.25,"&gt; 25%","ok"))</f>
        <v>N/A</v>
      </c>
      <c r="BP9" s="83"/>
      <c r="BQ9" s="83" t="str">
        <f>IF(OR(ISBLANK(N9),ISBLANK(P9)),"N/A",IF(ABS((P9-N9)/N9)&gt;0.25,"&gt; 25%","ok"))</f>
        <v>N/A</v>
      </c>
      <c r="BR9" s="83"/>
      <c r="BS9" s="83" t="str">
        <f>IF(OR(ISBLANK(P9),ISBLANK(R9)),"N/A",IF(ABS((R9-P9)/P9)&gt;0.25,"&gt; 25%","ok"))</f>
        <v>N/A</v>
      </c>
      <c r="BT9" s="83"/>
      <c r="BU9" s="83" t="str">
        <f>IF(OR(ISBLANK(R9),ISBLANK(T9)),"N/A",IF(ABS((T9-R9)/R9)&gt;0.25,"&gt; 25%","ok"))</f>
        <v>ok</v>
      </c>
      <c r="BV9" s="83"/>
      <c r="BW9" s="83" t="str">
        <f>IF(OR(ISBLANK(T9),ISBLANK(V9)),"N/A",IF(ABS((V9-T9)/T9)&gt;0.25,"&gt; 25%","ok"))</f>
        <v>ok</v>
      </c>
      <c r="BX9" s="83"/>
      <c r="BY9" s="83" t="str">
        <f>IF(OR(ISBLANK(V9),ISBLANK(X9)),"N/A",IF(ABS((X9-V9)/V9)&gt;0.25,"&gt; 25%","ok"))</f>
        <v>ok</v>
      </c>
      <c r="BZ9" s="83"/>
      <c r="CA9" s="83" t="str">
        <f>IF(OR(ISBLANK(X9),ISBLANK(Z9)),"N/A",IF(ABS((Z9-X9)/X9)&gt;0.25,"&gt; 25%","ok"))</f>
        <v>ok</v>
      </c>
      <c r="CB9" s="83"/>
      <c r="CC9" s="83" t="str">
        <f>IF(OR(ISBLANK(Z9),ISBLANK(AB9)),"N/A",IF(ABS((AB9-Z9)/Z9)&gt;0.25,"&gt; 25%","ok"))</f>
        <v>ok</v>
      </c>
      <c r="CD9" s="83"/>
      <c r="CE9" s="83" t="str">
        <f>IF(OR(ISBLANK(AB9),ISBLANK(AD9)),"N/A",IF(ABS((AD9-AB9)/AB9)&gt;0.25,"&gt; 25%","ok"))</f>
        <v>ok</v>
      </c>
      <c r="CF9" s="83"/>
      <c r="CG9" s="83" t="str">
        <f>IF(OR(ISBLANK(AD9),ISBLANK(AF9)),"N/A",IF(ABS((AF9-AD9)/AD9)&gt;0.25,"&gt; 25%","ok"))</f>
        <v>ok</v>
      </c>
      <c r="CH9" s="83"/>
      <c r="CI9" s="83" t="str">
        <f>IF(OR(ISBLANK(AF9),ISBLANK(AH9)),"N/A",IF(ABS((AH9-AF9)/AF9)&gt;0.25,"&gt; 25%","ok"))</f>
        <v>ok</v>
      </c>
      <c r="CJ9" s="83"/>
      <c r="CK9" s="83" t="str">
        <f>IF(OR(ISBLANK(AH9),ISBLANK(AJ9)),"N/A",IF(ABS((AJ9-AH9)/AH9)&gt;0.25,"&gt; 25%","ok"))</f>
        <v>ok</v>
      </c>
      <c r="CL9" s="83"/>
      <c r="CM9" s="83" t="str">
        <f>IF(OR(ISBLANK(AJ9),ISBLANK(AL9)),"N/A",IF(ABS((AL9-AJ9)/AJ9)&gt;0.25,"&gt; 25%","ok"))</f>
        <v>ok</v>
      </c>
      <c r="CN9" s="83"/>
      <c r="CO9" s="83" t="str">
        <f>IF(OR(ISBLANK(AL9),ISBLANK(AN9)),"N/A",IF(ABS((AN9-AL9)/AL9)&gt;0.25,"&gt; 25%","ok"))</f>
        <v>ok</v>
      </c>
      <c r="CP9" s="83"/>
      <c r="CQ9" s="83" t="str">
        <f>IF(OR(ISBLANK(AN9),ISBLANK(AP9)),"N/A",IF(ABS((AP9-AN9)/AN9)&gt;0.25,"&gt; 25%","ok"))</f>
        <v>ok</v>
      </c>
      <c r="CR9" s="83"/>
      <c r="CS9" s="83" t="str">
        <f>IF(OR(ISBLANK(AP9),ISBLANK(AR9)),"N/A",IF(ABS((AR9-AP9)/AP9)&gt;0.25,"&gt; 25%","ok"))</f>
        <v>ok</v>
      </c>
      <c r="CT9" s="83"/>
      <c r="CU9" s="83" t="str">
        <f>IF(OR(ISBLANK(AR9),ISBLANK(AT9)),"N/A",IF(ABS((AT9-AR9)/AR9)&gt;0.25,"&gt; 25%","ok"))</f>
        <v>ok</v>
      </c>
      <c r="CV9" s="83"/>
      <c r="CW9" s="83" t="str">
        <f>IF(OR(ISBLANK(AT9),ISBLANK(AV9)),"N/A",IF(ABS((AV9-AT9)/AT9)&gt;0.25,"&gt; 25%","ok"))</f>
        <v>ok</v>
      </c>
      <c r="CX9" s="83"/>
      <c r="CY9" s="83" t="str">
        <f>IF(OR(ISBLANK(AV9),ISBLANK(AX9)),"N/A",IF(ABS((AX9-AV9)/AV9)&gt;0.25,"&gt; 25%","ok"))</f>
        <v>ok</v>
      </c>
      <c r="CZ9" s="83"/>
      <c r="DA9" s="83" t="str">
        <f aca="true" t="shared" si="0" ref="DA9:DA23">IF(OR(ISBLANK(AX9),ISBLANK(AZ9)),"N/A",IF(ABS((AZ9-AX9)/AX9)&gt;0.25,"&gt; 25%","ok"))</f>
        <v>ok</v>
      </c>
    </row>
    <row r="10" spans="1:105" s="442" customFormat="1" ht="35.25" customHeight="1">
      <c r="A10" s="441" t="s">
        <v>68</v>
      </c>
      <c r="B10" s="237">
        <v>29</v>
      </c>
      <c r="C10" s="372">
        <v>3</v>
      </c>
      <c r="D10" s="254" t="s">
        <v>560</v>
      </c>
      <c r="E10" s="255" t="s">
        <v>313</v>
      </c>
      <c r="F10" s="602"/>
      <c r="G10" s="585"/>
      <c r="H10" s="602"/>
      <c r="I10" s="585"/>
      <c r="J10" s="602">
        <v>80</v>
      </c>
      <c r="K10" s="585" t="s">
        <v>635</v>
      </c>
      <c r="L10" s="602"/>
      <c r="M10" s="585"/>
      <c r="N10" s="602"/>
      <c r="O10" s="585"/>
      <c r="P10" s="602"/>
      <c r="Q10" s="585"/>
      <c r="R10" s="602">
        <v>89</v>
      </c>
      <c r="S10" s="585" t="s">
        <v>635</v>
      </c>
      <c r="T10" s="602">
        <v>94</v>
      </c>
      <c r="U10" s="585" t="s">
        <v>635</v>
      </c>
      <c r="V10" s="602">
        <v>95</v>
      </c>
      <c r="W10" s="585" t="s">
        <v>635</v>
      </c>
      <c r="X10" s="602">
        <v>96</v>
      </c>
      <c r="Y10" s="585" t="s">
        <v>635</v>
      </c>
      <c r="Z10" s="602">
        <v>95</v>
      </c>
      <c r="AA10" s="585" t="s">
        <v>635</v>
      </c>
      <c r="AB10" s="602">
        <v>94</v>
      </c>
      <c r="AC10" s="585" t="s">
        <v>635</v>
      </c>
      <c r="AD10" s="602">
        <v>92.6</v>
      </c>
      <c r="AE10" s="585" t="s">
        <v>635</v>
      </c>
      <c r="AF10" s="602">
        <v>92</v>
      </c>
      <c r="AG10" s="585" t="s">
        <v>635</v>
      </c>
      <c r="AH10" s="602">
        <v>92.5</v>
      </c>
      <c r="AI10" s="585" t="s">
        <v>635</v>
      </c>
      <c r="AJ10" s="602">
        <v>92.2</v>
      </c>
      <c r="AK10" s="585" t="s">
        <v>635</v>
      </c>
      <c r="AL10" s="602">
        <v>98.4</v>
      </c>
      <c r="AM10" s="585" t="s">
        <v>635</v>
      </c>
      <c r="AN10" s="602">
        <v>103.2</v>
      </c>
      <c r="AO10" s="585" t="s">
        <v>635</v>
      </c>
      <c r="AP10" s="602">
        <v>94.3</v>
      </c>
      <c r="AQ10" s="585" t="s">
        <v>635</v>
      </c>
      <c r="AR10" s="602">
        <v>94.3</v>
      </c>
      <c r="AS10" s="585" t="s">
        <v>635</v>
      </c>
      <c r="AT10" s="602">
        <v>82.8</v>
      </c>
      <c r="AU10" s="585" t="s">
        <v>635</v>
      </c>
      <c r="AV10" s="602">
        <v>83.6</v>
      </c>
      <c r="AW10" s="585" t="s">
        <v>635</v>
      </c>
      <c r="AX10" s="602">
        <v>86.4</v>
      </c>
      <c r="AY10" s="585" t="s">
        <v>635</v>
      </c>
      <c r="AZ10" s="602">
        <v>86.8</v>
      </c>
      <c r="BA10" s="585" t="s">
        <v>635</v>
      </c>
      <c r="BC10" s="443"/>
      <c r="BD10" s="639">
        <v>3</v>
      </c>
      <c r="BE10" s="646" t="s">
        <v>560</v>
      </c>
      <c r="BF10" s="594" t="s">
        <v>313</v>
      </c>
      <c r="BG10" s="82" t="s">
        <v>85</v>
      </c>
      <c r="BH10" s="607"/>
      <c r="BI10" s="83" t="str">
        <f>IF(OR(ISBLANK(F10),ISBLANK(H10)),"N/A",IF(ABS((H10-F10)/F10)&gt;1,"&gt; 100%","ok"))</f>
        <v>N/A</v>
      </c>
      <c r="BJ10" s="607"/>
      <c r="BK10" s="83" t="str">
        <f>IF(OR(ISBLANK(H10),ISBLANK(J10)),"N/A",IF(ABS((J10-H10)/H10)&gt;0.25,"&gt; 25%","ok"))</f>
        <v>N/A</v>
      </c>
      <c r="BL10" s="83"/>
      <c r="BM10" s="83" t="str">
        <f>IF(OR(ISBLANK(J10),ISBLANK(L10)),"N/A",IF(ABS((L10-J10)/J10)&gt;0.25,"&gt; 25%","ok"))</f>
        <v>N/A</v>
      </c>
      <c r="BN10" s="83"/>
      <c r="BO10" s="83" t="str">
        <f>IF(OR(ISBLANK(L10),ISBLANK(N10)),"N/A",IF(ABS((N10-L10)/L10)&gt;0.25,"&gt; 25%","ok"))</f>
        <v>N/A</v>
      </c>
      <c r="BP10" s="83"/>
      <c r="BQ10" s="83" t="str">
        <f>IF(OR(ISBLANK(N10),ISBLANK(P10)),"N/A",IF(ABS((P10-N10)/N10)&gt;0.25,"&gt; 25%","ok"))</f>
        <v>N/A</v>
      </c>
      <c r="BR10" s="83"/>
      <c r="BS10" s="83" t="str">
        <f>IF(OR(ISBLANK(P10),ISBLANK(R10)),"N/A",IF(ABS((R10-P10)/P10)&gt;0.25,"&gt; 25%","ok"))</f>
        <v>N/A</v>
      </c>
      <c r="BT10" s="83"/>
      <c r="BU10" s="83" t="str">
        <f>IF(OR(ISBLANK(R10),ISBLANK(T10)),"N/A",IF(ABS((T10-R10)/R10)&gt;0.25,"&gt; 25%","ok"))</f>
        <v>ok</v>
      </c>
      <c r="BV10" s="83"/>
      <c r="BW10" s="83" t="str">
        <f>IF(OR(ISBLANK(T10),ISBLANK(V10)),"N/A",IF(ABS((V10-T10)/T10)&gt;0.25,"&gt; 25%","ok"))</f>
        <v>ok</v>
      </c>
      <c r="BX10" s="83"/>
      <c r="BY10" s="83" t="str">
        <f>IF(OR(ISBLANK(V10),ISBLANK(X10)),"N/A",IF(ABS((X10-V10)/V10)&gt;0.25,"&gt; 25%","ok"))</f>
        <v>ok</v>
      </c>
      <c r="BZ10" s="83"/>
      <c r="CA10" s="83" t="str">
        <f>IF(OR(ISBLANK(X10),ISBLANK(Z10)),"N/A",IF(ABS((Z10-X10)/X10)&gt;0.25,"&gt; 25%","ok"))</f>
        <v>ok</v>
      </c>
      <c r="CB10" s="83"/>
      <c r="CC10" s="83" t="str">
        <f>IF(OR(ISBLANK(Z10),ISBLANK(AB10)),"N/A",IF(ABS((AB10-Z10)/Z10)&gt;0.25,"&gt; 25%","ok"))</f>
        <v>ok</v>
      </c>
      <c r="CD10" s="83"/>
      <c r="CE10" s="83" t="str">
        <f>IF(OR(ISBLANK(AB10),ISBLANK(AD10)),"N/A",IF(ABS((AD10-AB10)/AB10)&gt;0.25,"&gt; 25%","ok"))</f>
        <v>ok</v>
      </c>
      <c r="CF10" s="83"/>
      <c r="CG10" s="83" t="str">
        <f>IF(OR(ISBLANK(AD10),ISBLANK(AF10)),"N/A",IF(ABS((AF10-AD10)/AD10)&gt;0.25,"&gt; 25%","ok"))</f>
        <v>ok</v>
      </c>
      <c r="CH10" s="83"/>
      <c r="CI10" s="83" t="str">
        <f>IF(OR(ISBLANK(AF10),ISBLANK(AH10)),"N/A",IF(ABS((AH10-AF10)/AF10)&gt;0.25,"&gt; 25%","ok"))</f>
        <v>ok</v>
      </c>
      <c r="CJ10" s="83"/>
      <c r="CK10" s="83" t="str">
        <f>IF(OR(ISBLANK(AH10),ISBLANK(AJ10)),"N/A",IF(ABS((AJ10-AH10)/AH10)&gt;0.25,"&gt; 25%","ok"))</f>
        <v>ok</v>
      </c>
      <c r="CL10" s="83"/>
      <c r="CM10" s="83" t="str">
        <f>IF(OR(ISBLANK(AJ10),ISBLANK(AL10)),"N/A",IF(ABS((AL10-AJ10)/AJ10)&gt;0.25,"&gt; 25%","ok"))</f>
        <v>ok</v>
      </c>
      <c r="CN10" s="83"/>
      <c r="CO10" s="83" t="str">
        <f>IF(OR(ISBLANK(AL10),ISBLANK(AN10)),"N/A",IF(ABS((AN10-AL10)/AL10)&gt;0.25,"&gt; 25%","ok"))</f>
        <v>ok</v>
      </c>
      <c r="CP10" s="83"/>
      <c r="CQ10" s="83" t="str">
        <f>IF(OR(ISBLANK(AN10),ISBLANK(AP10)),"N/A",IF(ABS((AP10-AN10)/AN10)&gt;0.25,"&gt; 25%","ok"))</f>
        <v>ok</v>
      </c>
      <c r="CR10" s="83"/>
      <c r="CS10" s="83" t="str">
        <f>IF(OR(ISBLANK(AP10),ISBLANK(AR10)),"N/A",IF(ABS((AR10-AP10)/AP10)&gt;0.25,"&gt; 25%","ok"))</f>
        <v>ok</v>
      </c>
      <c r="CT10" s="83"/>
      <c r="CU10" s="83" t="str">
        <f>IF(OR(ISBLANK(AR10),ISBLANK(AT10)),"N/A",IF(ABS((AT10-AR10)/AR10)&gt;0.25,"&gt; 25%","ok"))</f>
        <v>ok</v>
      </c>
      <c r="CV10" s="83"/>
      <c r="CW10" s="83" t="str">
        <f>IF(OR(ISBLANK(AT10),ISBLANK(AV10)),"N/A",IF(ABS((AV10-AT10)/AT10)&gt;0.25,"&gt; 25%","ok"))</f>
        <v>ok</v>
      </c>
      <c r="CX10" s="83"/>
      <c r="CY10" s="83" t="str">
        <f>IF(OR(ISBLANK(AV10),ISBLANK(AX10)),"N/A",IF(ABS((AX10-AV10)/AV10)&gt;0.25,"&gt; 25%","ok"))</f>
        <v>ok</v>
      </c>
      <c r="CZ10" s="83"/>
      <c r="DA10" s="83" t="str">
        <f t="shared" si="0"/>
        <v>ok</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c r="G12" s="583"/>
      <c r="H12" s="573"/>
      <c r="I12" s="583"/>
      <c r="J12" s="573"/>
      <c r="K12" s="583"/>
      <c r="L12" s="573"/>
      <c r="M12" s="583"/>
      <c r="N12" s="573"/>
      <c r="O12" s="583"/>
      <c r="P12" s="573"/>
      <c r="Q12" s="583"/>
      <c r="R12" s="573"/>
      <c r="S12" s="583"/>
      <c r="T12" s="573"/>
      <c r="U12" s="583"/>
      <c r="V12" s="573"/>
      <c r="W12" s="583"/>
      <c r="X12" s="573"/>
      <c r="Y12" s="583"/>
      <c r="Z12" s="573"/>
      <c r="AA12" s="583"/>
      <c r="AB12" s="573"/>
      <c r="AC12" s="583"/>
      <c r="AD12" s="573"/>
      <c r="AE12" s="583"/>
      <c r="AF12" s="573"/>
      <c r="AG12" s="583"/>
      <c r="AH12" s="573"/>
      <c r="AI12" s="583"/>
      <c r="AJ12" s="573"/>
      <c r="AK12" s="583"/>
      <c r="AL12" s="573"/>
      <c r="AM12" s="583"/>
      <c r="AN12" s="573"/>
      <c r="AO12" s="583"/>
      <c r="AP12" s="573"/>
      <c r="AQ12" s="583"/>
      <c r="AR12" s="573"/>
      <c r="AS12" s="583"/>
      <c r="AT12" s="573"/>
      <c r="AU12" s="583"/>
      <c r="AV12" s="573"/>
      <c r="AW12" s="583"/>
      <c r="AX12" s="573"/>
      <c r="AY12" s="583"/>
      <c r="AZ12" s="573"/>
      <c r="BA12" s="583"/>
      <c r="BC12" s="448"/>
      <c r="BD12" s="642">
        <v>4</v>
      </c>
      <c r="BE12" s="648" t="s">
        <v>331</v>
      </c>
      <c r="BF12" s="594" t="s">
        <v>313</v>
      </c>
      <c r="BG12" s="80" t="s">
        <v>85</v>
      </c>
      <c r="BH12" s="606"/>
      <c r="BI12" s="80" t="str">
        <f aca="true" t="shared" si="1" ref="BI12:BI19">IF(OR(ISBLANK(F12),ISBLANK(H12)),"N/A",IF(ABS((H12-F12)/F12)&gt;1,"&gt; 100%","ok"))</f>
        <v>N/A</v>
      </c>
      <c r="BJ12" s="606"/>
      <c r="BK12" s="83" t="str">
        <f aca="true" t="shared" si="2" ref="BK12:BK19">IF(OR(ISBLANK(H12),ISBLANK(J12)),"N/A",IF(ABS((J12-H12)/H12)&gt;0.25,"&gt; 25%","ok"))</f>
        <v>N/A</v>
      </c>
      <c r="BL12" s="83"/>
      <c r="BM12" s="83" t="str">
        <f aca="true" t="shared" si="3" ref="BM12:BM19">IF(OR(ISBLANK(J12),ISBLANK(L12)),"N/A",IF(ABS((L12-J12)/J12)&gt;0.25,"&gt; 25%","ok"))</f>
        <v>N/A</v>
      </c>
      <c r="BN12" s="83"/>
      <c r="BO12" s="83" t="str">
        <f aca="true" t="shared" si="4" ref="BO12:BO19">IF(OR(ISBLANK(L12),ISBLANK(N12)),"N/A",IF(ABS((N12-L12)/L12)&gt;0.25,"&gt; 25%","ok"))</f>
        <v>N/A</v>
      </c>
      <c r="BP12" s="83"/>
      <c r="BQ12" s="83" t="str">
        <f aca="true" t="shared" si="5" ref="BQ12:BQ19">IF(OR(ISBLANK(N12),ISBLANK(P12)),"N/A",IF(ABS((P12-N12)/N12)&gt;0.25,"&gt; 25%","ok"))</f>
        <v>N/A</v>
      </c>
      <c r="BR12" s="83"/>
      <c r="BS12" s="83" t="str">
        <f aca="true" t="shared" si="6" ref="BS12:BS19">IF(OR(ISBLANK(P12),ISBLANK(R12)),"N/A",IF(ABS((R12-P12)/P12)&gt;0.25,"&gt; 25%","ok"))</f>
        <v>N/A</v>
      </c>
      <c r="BT12" s="83"/>
      <c r="BU12" s="83" t="str">
        <f aca="true" t="shared" si="7" ref="BU12:BU19">IF(OR(ISBLANK(R12),ISBLANK(T12)),"N/A",IF(ABS((T12-R12)/R12)&gt;0.25,"&gt; 25%","ok"))</f>
        <v>N/A</v>
      </c>
      <c r="BV12" s="83"/>
      <c r="BW12" s="83" t="str">
        <f aca="true" t="shared" si="8" ref="BW12:BW19">IF(OR(ISBLANK(T12),ISBLANK(V12)),"N/A",IF(ABS((V12-T12)/T12)&gt;0.25,"&gt; 25%","ok"))</f>
        <v>N/A</v>
      </c>
      <c r="BX12" s="83"/>
      <c r="BY12" s="83" t="str">
        <f aca="true" t="shared" si="9" ref="BY12:BY19">IF(OR(ISBLANK(V12),ISBLANK(X12)),"N/A",IF(ABS((X12-V12)/V12)&gt;0.25,"&gt; 25%","ok"))</f>
        <v>N/A</v>
      </c>
      <c r="BZ12" s="83"/>
      <c r="CA12" s="83" t="str">
        <f aca="true" t="shared" si="10" ref="CA12:CA19">IF(OR(ISBLANK(X12),ISBLANK(Z12)),"N/A",IF(ABS((Z12-X12)/X12)&gt;0.25,"&gt; 25%","ok"))</f>
        <v>N/A</v>
      </c>
      <c r="CB12" s="83"/>
      <c r="CC12" s="83" t="str">
        <f aca="true" t="shared" si="11" ref="CC12:CC19">IF(OR(ISBLANK(Z12),ISBLANK(AB12)),"N/A",IF(ABS((AB12-Z12)/Z12)&gt;0.25,"&gt; 25%","ok"))</f>
        <v>N/A</v>
      </c>
      <c r="CD12" s="83"/>
      <c r="CE12" s="83" t="str">
        <f aca="true" t="shared" si="12" ref="CE12:CE19">IF(OR(ISBLANK(AB12),ISBLANK(AD12)),"N/A",IF(ABS((AD12-AB12)/AB12)&gt;0.25,"&gt; 25%","ok"))</f>
        <v>N/A</v>
      </c>
      <c r="CF12" s="83"/>
      <c r="CG12" s="83" t="str">
        <f aca="true" t="shared" si="13" ref="CG12:CG19">IF(OR(ISBLANK(AD12),ISBLANK(AF12)),"N/A",IF(ABS((AF12-AD12)/AD12)&gt;0.25,"&gt; 25%","ok"))</f>
        <v>N/A</v>
      </c>
      <c r="CH12" s="83"/>
      <c r="CI12" s="83" t="str">
        <f aca="true" t="shared" si="14" ref="CI12:CI19">IF(OR(ISBLANK(AF12),ISBLANK(AH12)),"N/A",IF(ABS((AH12-AF12)/AF12)&gt;0.25,"&gt; 25%","ok"))</f>
        <v>N/A</v>
      </c>
      <c r="CJ12" s="83"/>
      <c r="CK12" s="83" t="str">
        <f aca="true" t="shared" si="15" ref="CK12:CK19">IF(OR(ISBLANK(AH12),ISBLANK(AJ12)),"N/A",IF(ABS((AJ12-AH12)/AH12)&gt;0.25,"&gt; 25%","ok"))</f>
        <v>N/A</v>
      </c>
      <c r="CL12" s="83"/>
      <c r="CM12" s="83" t="str">
        <f aca="true" t="shared" si="16" ref="CM12:CM19">IF(OR(ISBLANK(AJ12),ISBLANK(AL12)),"N/A",IF(ABS((AL12-AJ12)/AJ12)&gt;0.25,"&gt; 25%","ok"))</f>
        <v>N/A</v>
      </c>
      <c r="CN12" s="83"/>
      <c r="CO12" s="83" t="str">
        <f aca="true" t="shared" si="17" ref="CO12:CO19">IF(OR(ISBLANK(AL12),ISBLANK(AN12)),"N/A",IF(ABS((AN12-AL12)/AL12)&gt;0.25,"&gt; 25%","ok"))</f>
        <v>N/A</v>
      </c>
      <c r="CP12" s="83"/>
      <c r="CQ12" s="83" t="str">
        <f aca="true" t="shared" si="18" ref="CQ12:CQ19">IF(OR(ISBLANK(AN12),ISBLANK(AP12)),"N/A",IF(ABS((AP12-AN12)/AN12)&gt;0.25,"&gt; 25%","ok"))</f>
        <v>N/A</v>
      </c>
      <c r="CR12" s="83"/>
      <c r="CS12" s="83" t="str">
        <f aca="true" t="shared" si="19" ref="CS12:CS19">IF(OR(ISBLANK(AP12),ISBLANK(AR12)),"N/A",IF(ABS((AR12-AP12)/AP12)&gt;0.25,"&gt; 25%","ok"))</f>
        <v>N/A</v>
      </c>
      <c r="CT12" s="83"/>
      <c r="CU12" s="83" t="str">
        <f aca="true" t="shared" si="20" ref="CU12:CU19">IF(OR(ISBLANK(AR12),ISBLANK(AT12)),"N/A",IF(ABS((AT12-AR12)/AR12)&gt;0.25,"&gt; 25%","ok"))</f>
        <v>N/A</v>
      </c>
      <c r="CV12" s="83"/>
      <c r="CW12" s="83" t="str">
        <f aca="true" t="shared" si="21" ref="CW12:CW19">IF(OR(ISBLANK(AT12),ISBLANK(AV12)),"N/A",IF(ABS((AV12-AT12)/AT12)&gt;0.25,"&gt; 25%","ok"))</f>
        <v>N/A</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1"/>
      <c r="AY14" s="584"/>
      <c r="AZ14" s="601"/>
      <c r="BA14" s="584"/>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c r="G15" s="584"/>
      <c r="H15" s="601"/>
      <c r="I15" s="584"/>
      <c r="J15" s="601"/>
      <c r="K15" s="584"/>
      <c r="L15" s="601"/>
      <c r="M15" s="584"/>
      <c r="N15" s="601"/>
      <c r="O15" s="584"/>
      <c r="P15" s="601"/>
      <c r="Q15" s="584"/>
      <c r="R15" s="601"/>
      <c r="S15" s="584"/>
      <c r="T15" s="601"/>
      <c r="U15" s="584"/>
      <c r="V15" s="601"/>
      <c r="W15" s="584"/>
      <c r="X15" s="601"/>
      <c r="Y15" s="584"/>
      <c r="Z15" s="601"/>
      <c r="AA15" s="584"/>
      <c r="AB15" s="601"/>
      <c r="AC15" s="584"/>
      <c r="AD15" s="601"/>
      <c r="AE15" s="584"/>
      <c r="AF15" s="601"/>
      <c r="AG15" s="584"/>
      <c r="AH15" s="601"/>
      <c r="AI15" s="584"/>
      <c r="AJ15" s="601"/>
      <c r="AK15" s="584"/>
      <c r="AL15" s="601"/>
      <c r="AM15" s="584"/>
      <c r="AN15" s="601"/>
      <c r="AO15" s="584"/>
      <c r="AP15" s="601"/>
      <c r="AQ15" s="584"/>
      <c r="AR15" s="601"/>
      <c r="AS15" s="584"/>
      <c r="AT15" s="601"/>
      <c r="AU15" s="584"/>
      <c r="AV15" s="601"/>
      <c r="AW15" s="584"/>
      <c r="AX15" s="601"/>
      <c r="AY15" s="584"/>
      <c r="AZ15" s="601"/>
      <c r="BA15" s="584"/>
      <c r="BD15" s="594">
        <v>7</v>
      </c>
      <c r="BE15" s="649" t="s">
        <v>505</v>
      </c>
      <c r="BF15" s="594" t="s">
        <v>313</v>
      </c>
      <c r="BG15" s="82" t="s">
        <v>85</v>
      </c>
      <c r="BH15" s="607"/>
      <c r="BI15" s="80" t="str">
        <f t="shared" si="1"/>
        <v>N/A</v>
      </c>
      <c r="BJ15" s="607"/>
      <c r="BK15" s="83" t="str">
        <f t="shared" si="2"/>
        <v>N/A</v>
      </c>
      <c r="BL15" s="83"/>
      <c r="BM15" s="83" t="str">
        <f t="shared" si="3"/>
        <v>N/A</v>
      </c>
      <c r="BN15" s="83"/>
      <c r="BO15" s="83" t="str">
        <f t="shared" si="4"/>
        <v>N/A</v>
      </c>
      <c r="BP15" s="83"/>
      <c r="BQ15" s="83" t="str">
        <f t="shared" si="5"/>
        <v>N/A</v>
      </c>
      <c r="BR15" s="83"/>
      <c r="BS15" s="83" t="str">
        <f t="shared" si="6"/>
        <v>N/A</v>
      </c>
      <c r="BT15" s="83"/>
      <c r="BU15" s="83" t="str">
        <f t="shared" si="7"/>
        <v>N/A</v>
      </c>
      <c r="BV15" s="83"/>
      <c r="BW15" s="83" t="str">
        <f t="shared" si="8"/>
        <v>N/A</v>
      </c>
      <c r="BX15" s="83"/>
      <c r="BY15" s="83" t="str">
        <f t="shared" si="9"/>
        <v>N/A</v>
      </c>
      <c r="BZ15" s="83"/>
      <c r="CA15" s="83" t="str">
        <f t="shared" si="10"/>
        <v>N/A</v>
      </c>
      <c r="CB15" s="83"/>
      <c r="CC15" s="83" t="str">
        <f t="shared" si="11"/>
        <v>N/A</v>
      </c>
      <c r="CD15" s="83"/>
      <c r="CE15" s="83" t="str">
        <f t="shared" si="12"/>
        <v>N/A</v>
      </c>
      <c r="CF15" s="83"/>
      <c r="CG15" s="83" t="str">
        <f t="shared" si="13"/>
        <v>N/A</v>
      </c>
      <c r="CH15" s="83"/>
      <c r="CI15" s="83" t="str">
        <f t="shared" si="14"/>
        <v>N/A</v>
      </c>
      <c r="CJ15" s="83"/>
      <c r="CK15" s="83" t="str">
        <f t="shared" si="15"/>
        <v>N/A</v>
      </c>
      <c r="CL15" s="83"/>
      <c r="CM15" s="83" t="str">
        <f t="shared" si="16"/>
        <v>N/A</v>
      </c>
      <c r="CN15" s="83"/>
      <c r="CO15" s="83" t="str">
        <f t="shared" si="17"/>
        <v>N/A</v>
      </c>
      <c r="CP15" s="83"/>
      <c r="CQ15" s="83" t="str">
        <f t="shared" si="18"/>
        <v>N/A</v>
      </c>
      <c r="CR15" s="83"/>
      <c r="CS15" s="83" t="str">
        <f t="shared" si="19"/>
        <v>N/A</v>
      </c>
      <c r="CT15" s="83"/>
      <c r="CU15" s="83" t="str">
        <f t="shared" si="20"/>
        <v>N/A</v>
      </c>
      <c r="CV15" s="83"/>
      <c r="CW15" s="83" t="str">
        <f t="shared" si="21"/>
        <v>N/A</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c r="I21" s="584"/>
      <c r="J21" s="601"/>
      <c r="K21" s="584"/>
      <c r="L21" s="601"/>
      <c r="M21" s="584"/>
      <c r="N21" s="584"/>
      <c r="O21" s="584"/>
      <c r="P21" s="601"/>
      <c r="Q21" s="584"/>
      <c r="R21" s="601"/>
      <c r="S21" s="584"/>
      <c r="T21" s="601"/>
      <c r="U21" s="584"/>
      <c r="V21" s="601"/>
      <c r="W21" s="584"/>
      <c r="X21" s="601"/>
      <c r="Y21" s="584"/>
      <c r="Z21" s="601"/>
      <c r="AA21" s="584"/>
      <c r="AB21" s="601">
        <v>70</v>
      </c>
      <c r="AC21" s="584"/>
      <c r="AD21" s="601"/>
      <c r="AE21" s="584"/>
      <c r="AF21" s="601"/>
      <c r="AG21" s="584"/>
      <c r="AH21" s="601"/>
      <c r="AI21" s="584"/>
      <c r="AJ21" s="601"/>
      <c r="AK21" s="584"/>
      <c r="AL21" s="601"/>
      <c r="AM21" s="584"/>
      <c r="AN21" s="601">
        <v>80</v>
      </c>
      <c r="AO21" s="584"/>
      <c r="AP21" s="601"/>
      <c r="AQ21" s="584"/>
      <c r="AR21" s="601"/>
      <c r="AS21" s="584"/>
      <c r="AT21" s="601"/>
      <c r="AU21" s="584"/>
      <c r="AV21" s="601"/>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N/A</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N/A</v>
      </c>
      <c r="CR21" s="607"/>
      <c r="CS21" s="83" t="str">
        <f>IF(OR(ISBLANK(AP21),ISBLANK(AR21)),"N/A",IF(ABS(AR21-AP21)&gt;25,"&gt; 25%","ok"))</f>
        <v>N/A</v>
      </c>
      <c r="CT21" s="83"/>
      <c r="CU21" s="83" t="str">
        <f>IF(OR(ISBLANK(AR21),ISBLANK(AT21)),"N/A",IF(ABS(AT21-AR21)&gt;25,"&gt; 25%","ok"))</f>
        <v>N/A</v>
      </c>
      <c r="CV21" s="83"/>
      <c r="CW21" s="83" t="str">
        <f>IF(OR(ISBLANK(AT21),ISBLANK(AV21)),"N/A",IF(ABS(AV21-AT21)&gt;25,"&gt; 25%","ok"))</f>
        <v>N/A</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c r="W22" s="584"/>
      <c r="X22" s="601"/>
      <c r="Y22" s="584"/>
      <c r="Z22" s="601"/>
      <c r="AA22" s="584"/>
      <c r="AB22" s="601"/>
      <c r="AC22" s="584"/>
      <c r="AD22" s="601"/>
      <c r="AE22" s="584"/>
      <c r="AF22" s="601"/>
      <c r="AG22" s="584"/>
      <c r="AH22" s="601"/>
      <c r="AI22" s="584"/>
      <c r="AJ22" s="601"/>
      <c r="AK22" s="584"/>
      <c r="AL22" s="601"/>
      <c r="AM22" s="584"/>
      <c r="AN22" s="601"/>
      <c r="AO22" s="584"/>
      <c r="AP22" s="601"/>
      <c r="AQ22" s="584"/>
      <c r="AR22" s="601"/>
      <c r="AS22" s="584"/>
      <c r="AT22" s="601"/>
      <c r="AU22" s="584"/>
      <c r="AV22" s="601"/>
      <c r="AW22" s="584"/>
      <c r="AX22" s="601"/>
      <c r="AY22" s="584"/>
      <c r="AZ22" s="601">
        <v>93</v>
      </c>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N/A</v>
      </c>
      <c r="BZ22" s="83"/>
      <c r="CA22" s="83" t="str">
        <f>IF(OR(ISBLANK(X22),ISBLANK(Z22)),"N/A",IF(ABS(Z22-X22)&gt;25,"&gt; 25%","ok"))</f>
        <v>N/A</v>
      </c>
      <c r="CB22" s="83"/>
      <c r="CC22" s="83" t="str">
        <f>IF(OR(ISBLANK(Z22),ISBLANK(AB22)),"N/A",IF(ABS(AB22-Z22)&gt;25,"&gt; 25%","ok"))</f>
        <v>N/A</v>
      </c>
      <c r="CD22" s="83"/>
      <c r="CE22" s="83" t="str">
        <f>IF(OR(ISBLANK(AB22),ISBLANK(AD22)),"N/A",IF(ABS(AD22-AB22)&gt;25,"&gt; 25%","ok"))</f>
        <v>N/A</v>
      </c>
      <c r="CF22" s="83"/>
      <c r="CG22" s="83" t="str">
        <f>IF(OR(ISBLANK(AD22),ISBLANK(AF22)),"N/A",IF(ABS(AF22-AD22)&gt;25,"&gt; 25%","ok"))</f>
        <v>N/A</v>
      </c>
      <c r="CH22" s="83"/>
      <c r="CI22" s="83" t="str">
        <f>IF(OR(ISBLANK(AF22),ISBLANK(AH22)),"N/A",IF(ABS(AH22-AF22)&gt;25,"&gt; 25%","ok"))</f>
        <v>N/A</v>
      </c>
      <c r="CJ22" s="83"/>
      <c r="CK22" s="83" t="str">
        <f>IF(OR(ISBLANK(AH22),ISBLANK(AJ22)),"N/A",IF(ABS(AJ22-AH22)&gt;25,"&gt; 25%","ok"))</f>
        <v>N/A</v>
      </c>
      <c r="CL22" s="83"/>
      <c r="CM22" s="83" t="str">
        <f>IF(OR(ISBLANK(AJ22),ISBLANK(AL22)),"N/A",IF(ABS(AL22-AJ22)&gt;25,"&gt; 25%","ok"))</f>
        <v>N/A</v>
      </c>
      <c r="CN22" s="83"/>
      <c r="CO22" s="83" t="str">
        <f>IF(OR(ISBLANK(AL22),ISBLANK(AN22)),"N/A",IF(ABS(AN22-AL22)&gt;25,"&gt; 25%","ok"))</f>
        <v>N/A</v>
      </c>
      <c r="CP22" s="83"/>
      <c r="CQ22" s="83" t="str">
        <f>IF(OR(ISBLANK(AN22),ISBLANK(AP22)),"N/A",IF(ABS((AP22-AN22)/AN22)&gt;0.25,"&gt; 25%","ok"))</f>
        <v>N/A</v>
      </c>
      <c r="CR22" s="607"/>
      <c r="CS22" s="83" t="str">
        <f>IF(OR(ISBLANK(AP22),ISBLANK(AR22)),"N/A",IF(ABS(AR22-AP22)&gt;25,"&gt; 25%","ok"))</f>
        <v>N/A</v>
      </c>
      <c r="CT22" s="83"/>
      <c r="CU22" s="83" t="str">
        <f>IF(OR(ISBLANK(AR22),ISBLANK(AT22)),"N/A",IF(ABS(AT22-AR22)&gt;25,"&gt; 25%","ok"))</f>
        <v>N/A</v>
      </c>
      <c r="CV22" s="83"/>
      <c r="CW22" s="83" t="str">
        <f>IF(OR(ISBLANK(AT22),ISBLANK(AV22)),"N/A",IF(ABS(AV22-AT22)&gt;25,"&gt; 25%","ok"))</f>
        <v>N/A</v>
      </c>
      <c r="CX22" s="83"/>
      <c r="CY22" s="83" t="str">
        <f>IF(OR(ISBLANK(AV22),ISBLANK(AX22)),"N/A",IF(ABS(AX22-AV22)&gt;25,"&gt; 25%","ok"))</f>
        <v>N/A</v>
      </c>
      <c r="CZ22" s="83"/>
      <c r="DA22" s="83" t="str">
        <f t="shared" si="0"/>
        <v>N/A</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c r="W23" s="590"/>
      <c r="X23" s="577"/>
      <c r="Y23" s="590"/>
      <c r="Z23" s="577"/>
      <c r="AA23" s="590"/>
      <c r="AB23" s="577"/>
      <c r="AC23" s="590"/>
      <c r="AD23" s="577"/>
      <c r="AE23" s="590"/>
      <c r="AF23" s="577"/>
      <c r="AG23" s="590"/>
      <c r="AH23" s="577"/>
      <c r="AI23" s="590"/>
      <c r="AJ23" s="577"/>
      <c r="AK23" s="590"/>
      <c r="AL23" s="577"/>
      <c r="AM23" s="590"/>
      <c r="AN23" s="577"/>
      <c r="AO23" s="590"/>
      <c r="AP23" s="577"/>
      <c r="AQ23" s="590"/>
      <c r="AR23" s="577"/>
      <c r="AS23" s="590"/>
      <c r="AT23" s="577"/>
      <c r="AU23" s="590"/>
      <c r="AV23" s="577">
        <v>64</v>
      </c>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74" t="s">
        <v>127</v>
      </c>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458"/>
      <c r="BD26" s="594">
        <v>3</v>
      </c>
      <c r="BE26" s="646" t="s">
        <v>560</v>
      </c>
      <c r="BF26" s="594" t="s">
        <v>313</v>
      </c>
      <c r="BG26" s="82">
        <f>F10</f>
        <v>0</v>
      </c>
      <c r="BH26" s="82"/>
      <c r="BI26" s="82">
        <f aca="true" t="shared" si="23" ref="BI26:DA26">H10</f>
        <v>0</v>
      </c>
      <c r="BJ26" s="82"/>
      <c r="BK26" s="82">
        <f t="shared" si="23"/>
        <v>80</v>
      </c>
      <c r="BL26" s="82"/>
      <c r="BM26" s="82">
        <f t="shared" si="23"/>
        <v>0</v>
      </c>
      <c r="BN26" s="82"/>
      <c r="BO26" s="82">
        <f t="shared" si="23"/>
        <v>0</v>
      </c>
      <c r="BP26" s="82"/>
      <c r="BQ26" s="82">
        <f t="shared" si="23"/>
        <v>0</v>
      </c>
      <c r="BR26" s="82"/>
      <c r="BS26" s="82">
        <f t="shared" si="23"/>
        <v>89</v>
      </c>
      <c r="BT26" s="82"/>
      <c r="BU26" s="82">
        <f t="shared" si="23"/>
        <v>94</v>
      </c>
      <c r="BV26" s="82"/>
      <c r="BW26" s="82">
        <f t="shared" si="23"/>
        <v>95</v>
      </c>
      <c r="BX26" s="82"/>
      <c r="BY26" s="82">
        <f t="shared" si="23"/>
        <v>96</v>
      </c>
      <c r="BZ26" s="82"/>
      <c r="CA26" s="82">
        <f t="shared" si="23"/>
        <v>95</v>
      </c>
      <c r="CB26" s="82"/>
      <c r="CC26" s="82">
        <f t="shared" si="23"/>
        <v>94</v>
      </c>
      <c r="CD26" s="82"/>
      <c r="CE26" s="82">
        <f t="shared" si="23"/>
        <v>92.6</v>
      </c>
      <c r="CF26" s="82"/>
      <c r="CG26" s="82">
        <f t="shared" si="23"/>
        <v>92</v>
      </c>
      <c r="CH26" s="82"/>
      <c r="CI26" s="82">
        <f t="shared" si="23"/>
        <v>92.5</v>
      </c>
      <c r="CJ26" s="82"/>
      <c r="CK26" s="82">
        <f t="shared" si="23"/>
        <v>92.2</v>
      </c>
      <c r="CL26" s="82"/>
      <c r="CM26" s="82">
        <f t="shared" si="23"/>
        <v>98.4</v>
      </c>
      <c r="CN26" s="82"/>
      <c r="CO26" s="82">
        <f t="shared" si="23"/>
        <v>103.2</v>
      </c>
      <c r="CP26" s="82"/>
      <c r="CQ26" s="82">
        <f t="shared" si="23"/>
        <v>94.3</v>
      </c>
      <c r="CR26" s="82"/>
      <c r="CS26" s="82">
        <f t="shared" si="23"/>
        <v>94.3</v>
      </c>
      <c r="CT26" s="82"/>
      <c r="CU26" s="82">
        <f t="shared" si="23"/>
        <v>82.8</v>
      </c>
      <c r="CV26" s="82"/>
      <c r="CW26" s="82">
        <f t="shared" si="23"/>
        <v>83.6</v>
      </c>
      <c r="CX26" s="82"/>
      <c r="CY26" s="82">
        <f t="shared" si="23"/>
        <v>86.4</v>
      </c>
      <c r="CZ26" s="82"/>
      <c r="DA26" s="82">
        <f t="shared" si="23"/>
        <v>86.8</v>
      </c>
    </row>
    <row r="27" spans="1:120" s="439" customFormat="1" ht="14.25" customHeight="1">
      <c r="A27" s="280"/>
      <c r="B27" s="280"/>
      <c r="C27" s="278" t="s">
        <v>148</v>
      </c>
      <c r="D27" s="770" t="s">
        <v>149</v>
      </c>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770"/>
      <c r="AX27" s="770"/>
      <c r="AY27" s="770"/>
      <c r="AZ27" s="770"/>
      <c r="BA27" s="770"/>
      <c r="BB27" s="770"/>
      <c r="BC27" s="458"/>
      <c r="BD27" s="299">
        <v>15</v>
      </c>
      <c r="BE27" s="459" t="s">
        <v>39</v>
      </c>
      <c r="BF27" s="82" t="s">
        <v>313</v>
      </c>
      <c r="BG27" s="82">
        <f>F8-F9</f>
        <v>278</v>
      </c>
      <c r="BH27" s="82"/>
      <c r="BI27" s="82">
        <f aca="true" t="shared" si="24" ref="BI27:DA27">H8-H9</f>
        <v>0</v>
      </c>
      <c r="BJ27" s="82"/>
      <c r="BK27" s="82">
        <f t="shared" si="24"/>
        <v>80</v>
      </c>
      <c r="BL27" s="82"/>
      <c r="BM27" s="82">
        <f t="shared" si="24"/>
        <v>0</v>
      </c>
      <c r="BN27" s="82"/>
      <c r="BO27" s="82">
        <f t="shared" si="24"/>
        <v>0</v>
      </c>
      <c r="BP27" s="82"/>
      <c r="BQ27" s="82">
        <f t="shared" si="24"/>
        <v>0</v>
      </c>
      <c r="BR27" s="82"/>
      <c r="BS27" s="82">
        <f t="shared" si="24"/>
        <v>89</v>
      </c>
      <c r="BT27" s="82"/>
      <c r="BU27" s="82">
        <f t="shared" si="24"/>
        <v>94</v>
      </c>
      <c r="BV27" s="82"/>
      <c r="BW27" s="82">
        <f t="shared" si="24"/>
        <v>95</v>
      </c>
      <c r="BX27" s="82"/>
      <c r="BY27" s="82">
        <f t="shared" si="24"/>
        <v>96</v>
      </c>
      <c r="BZ27" s="82"/>
      <c r="CA27" s="82">
        <f t="shared" si="24"/>
        <v>95</v>
      </c>
      <c r="CB27" s="82"/>
      <c r="CC27" s="82">
        <f t="shared" si="24"/>
        <v>94</v>
      </c>
      <c r="CD27" s="82"/>
      <c r="CE27" s="82">
        <f t="shared" si="24"/>
        <v>95</v>
      </c>
      <c r="CF27" s="82"/>
      <c r="CG27" s="82">
        <f t="shared" si="24"/>
        <v>98.89999999999998</v>
      </c>
      <c r="CH27" s="82"/>
      <c r="CI27" s="82">
        <f t="shared" si="24"/>
        <v>94.80000000000001</v>
      </c>
      <c r="CJ27" s="82"/>
      <c r="CK27" s="82">
        <f t="shared" si="24"/>
        <v>93</v>
      </c>
      <c r="CL27" s="82"/>
      <c r="CM27" s="82">
        <f t="shared" si="24"/>
        <v>96.69999999999999</v>
      </c>
      <c r="CN27" s="82"/>
      <c r="CO27" s="82">
        <f t="shared" si="24"/>
        <v>103</v>
      </c>
      <c r="CP27" s="82"/>
      <c r="CQ27" s="82">
        <f t="shared" si="24"/>
        <v>94</v>
      </c>
      <c r="CR27" s="82"/>
      <c r="CS27" s="82">
        <f t="shared" si="24"/>
        <v>94.30000000000001</v>
      </c>
      <c r="CT27" s="82"/>
      <c r="CU27" s="82">
        <f t="shared" si="24"/>
        <v>82.80000000000001</v>
      </c>
      <c r="CV27" s="82"/>
      <c r="CW27" s="82">
        <f t="shared" si="24"/>
        <v>83.6</v>
      </c>
      <c r="CX27" s="82"/>
      <c r="CY27" s="82">
        <f t="shared" si="24"/>
        <v>86.4</v>
      </c>
      <c r="CZ27" s="82"/>
      <c r="DA27" s="82">
        <f t="shared" si="24"/>
        <v>86.80000000000001</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74" t="s">
        <v>265</v>
      </c>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279"/>
      <c r="AW28" s="279"/>
      <c r="AX28" s="279"/>
      <c r="AY28" s="279"/>
      <c r="AZ28" s="279"/>
      <c r="BA28" s="279"/>
      <c r="BB28" s="279"/>
      <c r="BC28" s="458"/>
      <c r="BD28" s="287" t="s">
        <v>182</v>
      </c>
      <c r="BE28" s="284" t="s">
        <v>604</v>
      </c>
      <c r="BF28" s="82"/>
      <c r="BG28" s="82" t="str">
        <f>IF(OR(ISBLANK(F8),ISBLANK(F9),ISBLANK(F10)),"N/A",IF((BG26=BG27),"ok","&lt;&gt;"))</f>
        <v>N/A</v>
      </c>
      <c r="BH28" s="82"/>
      <c r="BI28" s="82" t="str">
        <f aca="true" t="shared" si="25" ref="BI28:DA28">IF(OR(ISBLANK(H8),ISBLANK(H9),ISBLANK(H10)),"N/A",IF((BI26=BI27),"ok","&lt;&gt;"))</f>
        <v>N/A</v>
      </c>
      <c r="BJ28" s="82"/>
      <c r="BK28" s="82" t="str">
        <f t="shared" si="25"/>
        <v>ok</v>
      </c>
      <c r="BL28" s="82"/>
      <c r="BM28" s="82" t="str">
        <f t="shared" si="25"/>
        <v>N/A</v>
      </c>
      <c r="BN28" s="82"/>
      <c r="BO28" s="82" t="str">
        <f t="shared" si="25"/>
        <v>N/A</v>
      </c>
      <c r="BP28" s="82"/>
      <c r="BQ28" s="82" t="str">
        <f t="shared" si="25"/>
        <v>N/A</v>
      </c>
      <c r="BR28" s="82"/>
      <c r="BS28" s="82" t="str">
        <f t="shared" si="25"/>
        <v>ok</v>
      </c>
      <c r="BT28" s="82"/>
      <c r="BU28" s="82" t="str">
        <f t="shared" si="25"/>
        <v>ok</v>
      </c>
      <c r="BV28" s="82"/>
      <c r="BW28" s="82" t="str">
        <f t="shared" si="25"/>
        <v>ok</v>
      </c>
      <c r="BX28" s="82"/>
      <c r="BY28" s="82" t="str">
        <f t="shared" si="25"/>
        <v>ok</v>
      </c>
      <c r="BZ28" s="82"/>
      <c r="CA28" s="82" t="str">
        <f t="shared" si="25"/>
        <v>ok</v>
      </c>
      <c r="CB28" s="82"/>
      <c r="CC28" s="82" t="str">
        <f t="shared" si="25"/>
        <v>ok</v>
      </c>
      <c r="CD28" s="82"/>
      <c r="CE28" s="82" t="str">
        <f t="shared" si="25"/>
        <v>&lt;&gt;</v>
      </c>
      <c r="CF28" s="82"/>
      <c r="CG28" s="82" t="str">
        <f t="shared" si="25"/>
        <v>&lt;&gt;</v>
      </c>
      <c r="CH28" s="82"/>
      <c r="CI28" s="82" t="str">
        <f t="shared" si="25"/>
        <v>&lt;&gt;</v>
      </c>
      <c r="CJ28" s="82"/>
      <c r="CK28" s="82" t="str">
        <f t="shared" si="25"/>
        <v>&lt;&gt;</v>
      </c>
      <c r="CL28" s="82"/>
      <c r="CM28" s="82" t="str">
        <f t="shared" si="25"/>
        <v>&lt;&gt;</v>
      </c>
      <c r="CN28" s="82"/>
      <c r="CO28" s="82" t="str">
        <f t="shared" si="25"/>
        <v>&lt;&gt;</v>
      </c>
      <c r="CP28" s="82"/>
      <c r="CQ28" s="82" t="str">
        <f t="shared" si="25"/>
        <v>&lt;&gt;</v>
      </c>
      <c r="CR28" s="82"/>
      <c r="CS28" s="82" t="str">
        <f t="shared" si="25"/>
        <v>ok</v>
      </c>
      <c r="CT28" s="82"/>
      <c r="CU28" s="82" t="str">
        <f t="shared" si="25"/>
        <v>ok</v>
      </c>
      <c r="CV28" s="82"/>
      <c r="CW28" s="82" t="str">
        <f t="shared" si="25"/>
        <v>ok</v>
      </c>
      <c r="CX28" s="82"/>
      <c r="CY28" s="82" t="str">
        <f t="shared" si="25"/>
        <v>ok</v>
      </c>
      <c r="CZ28" s="82"/>
      <c r="DA28" s="82" t="str">
        <f t="shared" si="25"/>
        <v>ok</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74" t="s">
        <v>114</v>
      </c>
      <c r="E29" s="774"/>
      <c r="F29" s="774"/>
      <c r="G29" s="774"/>
      <c r="H29" s="774"/>
      <c r="I29" s="774"/>
      <c r="J29" s="774"/>
      <c r="K29" s="774"/>
      <c r="L29" s="774"/>
      <c r="M29" s="774"/>
      <c r="N29" s="774"/>
      <c r="O29" s="774"/>
      <c r="P29" s="774"/>
      <c r="Q29" s="774"/>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458"/>
      <c r="BD29" s="299">
        <v>16</v>
      </c>
      <c r="BE29" s="284" t="s">
        <v>605</v>
      </c>
      <c r="BF29" s="82" t="s">
        <v>313</v>
      </c>
      <c r="BG29" s="82">
        <f>SUM(F12:F16)+SUM(F18:F19)</f>
        <v>0</v>
      </c>
      <c r="BH29" s="82"/>
      <c r="BI29" s="82">
        <f aca="true" t="shared" si="26" ref="BI29:DA29">SUM(H12:H16)+SUM(H18:H19)</f>
        <v>0</v>
      </c>
      <c r="BJ29" s="82"/>
      <c r="BK29" s="82">
        <f t="shared" si="26"/>
        <v>0</v>
      </c>
      <c r="BL29" s="82"/>
      <c r="BM29" s="82">
        <f t="shared" si="26"/>
        <v>0</v>
      </c>
      <c r="BN29" s="82"/>
      <c r="BO29" s="82">
        <f t="shared" si="26"/>
        <v>0</v>
      </c>
      <c r="BP29" s="82"/>
      <c r="BQ29" s="82">
        <f t="shared" si="26"/>
        <v>0</v>
      </c>
      <c r="BR29" s="82"/>
      <c r="BS29" s="82">
        <f t="shared" si="26"/>
        <v>0</v>
      </c>
      <c r="BT29" s="82"/>
      <c r="BU29" s="82">
        <f t="shared" si="26"/>
        <v>0</v>
      </c>
      <c r="BV29" s="82"/>
      <c r="BW29" s="82">
        <f t="shared" si="26"/>
        <v>0</v>
      </c>
      <c r="BX29" s="82"/>
      <c r="BY29" s="82">
        <f t="shared" si="26"/>
        <v>0</v>
      </c>
      <c r="BZ29" s="82"/>
      <c r="CA29" s="82">
        <f t="shared" si="26"/>
        <v>0</v>
      </c>
      <c r="CB29" s="82"/>
      <c r="CC29" s="82">
        <f t="shared" si="26"/>
        <v>0</v>
      </c>
      <c r="CD29" s="82"/>
      <c r="CE29" s="82">
        <f t="shared" si="26"/>
        <v>0</v>
      </c>
      <c r="CF29" s="82"/>
      <c r="CG29" s="82">
        <f t="shared" si="26"/>
        <v>0</v>
      </c>
      <c r="CH29" s="82"/>
      <c r="CI29" s="82">
        <f t="shared" si="26"/>
        <v>0</v>
      </c>
      <c r="CJ29" s="82"/>
      <c r="CK29" s="82">
        <f t="shared" si="26"/>
        <v>0</v>
      </c>
      <c r="CL29" s="82"/>
      <c r="CM29" s="82">
        <f t="shared" si="26"/>
        <v>0</v>
      </c>
      <c r="CN29" s="82"/>
      <c r="CO29" s="82">
        <f t="shared" si="26"/>
        <v>0</v>
      </c>
      <c r="CP29" s="82"/>
      <c r="CQ29" s="82">
        <f t="shared" si="26"/>
        <v>0</v>
      </c>
      <c r="CR29" s="82"/>
      <c r="CS29" s="82">
        <f t="shared" si="26"/>
        <v>0</v>
      </c>
      <c r="CT29" s="82"/>
      <c r="CU29" s="82">
        <f t="shared" si="26"/>
        <v>0</v>
      </c>
      <c r="CV29" s="82"/>
      <c r="CW29" s="82">
        <f t="shared" si="26"/>
        <v>0</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c r="AN30" s="790"/>
      <c r="AO30" s="790"/>
      <c r="AP30" s="790"/>
      <c r="AQ30" s="790"/>
      <c r="AR30" s="790"/>
      <c r="AS30" s="790"/>
      <c r="AT30" s="790"/>
      <c r="AU30" s="790"/>
      <c r="AV30" s="790"/>
      <c r="AW30" s="790"/>
      <c r="AX30" s="790"/>
      <c r="AY30" s="790"/>
      <c r="AZ30" s="790"/>
      <c r="BA30" s="790"/>
      <c r="BB30" s="790"/>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30" t="str">
        <f>D12&amp;" (W3,4)"</f>
        <v>Households (W3,4)</v>
      </c>
      <c r="V31" s="831"/>
      <c r="W31" s="831"/>
      <c r="X31" s="831"/>
      <c r="Y31" s="831"/>
      <c r="Z31" s="831"/>
      <c r="AA31" s="831"/>
      <c r="AB31" s="832"/>
      <c r="AC31" s="288"/>
      <c r="AD31" s="288"/>
      <c r="AE31" s="288"/>
      <c r="AF31" s="288"/>
      <c r="AG31" s="288"/>
      <c r="AH31" s="288"/>
      <c r="AI31" s="288"/>
      <c r="AJ31" s="288"/>
      <c r="AK31" s="288"/>
      <c r="AL31" s="775"/>
      <c r="AM31" s="775"/>
      <c r="AN31" s="775"/>
      <c r="AO31" s="775"/>
      <c r="AP31" s="775"/>
      <c r="AQ31" s="775"/>
      <c r="AR31" s="775"/>
      <c r="AS31" s="775"/>
      <c r="AT31" s="775"/>
      <c r="AU31" s="775"/>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N/A</v>
      </c>
      <c r="BX31" s="98"/>
      <c r="BY31" s="98" t="str">
        <f t="shared" si="28"/>
        <v>N/A</v>
      </c>
      <c r="BZ31" s="98"/>
      <c r="CA31" s="98" t="str">
        <f t="shared" si="28"/>
        <v>N/A</v>
      </c>
      <c r="CB31" s="98"/>
      <c r="CC31" s="98" t="str">
        <f t="shared" si="28"/>
        <v>N/A</v>
      </c>
      <c r="CD31" s="98"/>
      <c r="CE31" s="98" t="str">
        <f t="shared" si="28"/>
        <v>N/A</v>
      </c>
      <c r="CF31" s="98"/>
      <c r="CG31" s="98" t="str">
        <f t="shared" si="28"/>
        <v>N/A</v>
      </c>
      <c r="CH31" s="98"/>
      <c r="CI31" s="98" t="str">
        <f t="shared" si="28"/>
        <v>N/A</v>
      </c>
      <c r="CJ31" s="98"/>
      <c r="CK31" s="98" t="str">
        <f t="shared" si="28"/>
        <v>N/A</v>
      </c>
      <c r="CL31" s="98"/>
      <c r="CM31" s="98" t="str">
        <f t="shared" si="28"/>
        <v>N/A</v>
      </c>
      <c r="CN31" s="98"/>
      <c r="CO31" s="98" t="str">
        <f t="shared" si="28"/>
        <v>N/A</v>
      </c>
      <c r="CP31" s="98"/>
      <c r="CQ31" s="98" t="str">
        <f t="shared" si="28"/>
        <v>N/A</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37" t="str">
        <f>LEFT(D10,LEN(D10)-25)&amp;" (W3,3)"</f>
        <v>Net freshwater supplied by water supply industry (ISIC 36)   (W3,3)</v>
      </c>
      <c r="L32" s="843"/>
      <c r="M32" s="843"/>
      <c r="N32" s="844"/>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40" t="str">
        <f>D8&amp;" (W3, 1)"</f>
        <v>Gross freshwater supplied by water supply industry (ISIC 36) (W3, 1)</v>
      </c>
      <c r="E33" s="289"/>
      <c r="F33" s="629"/>
      <c r="G33" s="629"/>
      <c r="H33" s="629"/>
      <c r="I33" s="629"/>
      <c r="J33" s="629"/>
      <c r="K33" s="845"/>
      <c r="L33" s="846"/>
      <c r="M33" s="846"/>
      <c r="N33" s="847"/>
      <c r="O33" s="629"/>
      <c r="P33" s="836" t="s">
        <v>17</v>
      </c>
      <c r="Q33" s="836"/>
      <c r="R33" s="629"/>
      <c r="S33" s="629"/>
      <c r="T33" s="629"/>
      <c r="U33" s="830" t="str">
        <f>D13&amp;" (W3,5)"</f>
        <v>Agriculture, forestry and fishing (ISIC 01-03) (W3,5)</v>
      </c>
      <c r="V33" s="831"/>
      <c r="W33" s="831"/>
      <c r="X33" s="831"/>
      <c r="Y33" s="831"/>
      <c r="Z33" s="831"/>
      <c r="AA33" s="831"/>
      <c r="AB33" s="832"/>
      <c r="AC33" s="290"/>
      <c r="AD33" s="289"/>
      <c r="AE33" s="625"/>
      <c r="AF33" s="625"/>
      <c r="AG33" s="468"/>
      <c r="AH33" s="833"/>
      <c r="AI33" s="833"/>
      <c r="AJ33" s="288"/>
      <c r="AK33" s="288"/>
      <c r="AL33" s="775"/>
      <c r="AM33" s="775"/>
      <c r="AN33" s="775"/>
      <c r="AO33" s="775"/>
      <c r="AP33" s="775"/>
      <c r="AQ33" s="775"/>
      <c r="AR33" s="775"/>
      <c r="AS33" s="775"/>
      <c r="AT33" s="775"/>
      <c r="AU33" s="775"/>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41"/>
      <c r="E34" s="629"/>
      <c r="F34" s="629"/>
      <c r="G34" s="629"/>
      <c r="H34" s="629"/>
      <c r="I34" s="629"/>
      <c r="J34" s="629"/>
      <c r="K34" s="845"/>
      <c r="L34" s="846"/>
      <c r="M34" s="846"/>
      <c r="N34" s="847"/>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41"/>
      <c r="E35" s="629"/>
      <c r="F35" s="629"/>
      <c r="G35" s="629"/>
      <c r="H35" s="629"/>
      <c r="I35" s="629"/>
      <c r="J35" s="629"/>
      <c r="K35" s="845"/>
      <c r="L35" s="846"/>
      <c r="M35" s="846"/>
      <c r="N35" s="847"/>
      <c r="O35" s="629"/>
      <c r="P35" s="629"/>
      <c r="Q35" s="629"/>
      <c r="R35" s="629"/>
      <c r="S35" s="629"/>
      <c r="T35" s="629"/>
      <c r="U35" s="830" t="str">
        <f>D14&amp;" (W3,6)"</f>
        <v>Mining and quarrying (ISIC 05-09) (W3,6)</v>
      </c>
      <c r="V35" s="831"/>
      <c r="W35" s="831"/>
      <c r="X35" s="831"/>
      <c r="Y35" s="831"/>
      <c r="Z35" s="831"/>
      <c r="AA35" s="831"/>
      <c r="AB35" s="832"/>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41"/>
      <c r="E36" s="629"/>
      <c r="F36" s="629"/>
      <c r="G36" s="629"/>
      <c r="H36" s="629"/>
      <c r="I36" s="629"/>
      <c r="J36" s="629"/>
      <c r="K36" s="845"/>
      <c r="L36" s="846"/>
      <c r="M36" s="846"/>
      <c r="N36" s="847"/>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42"/>
      <c r="E37" s="629"/>
      <c r="F37" s="629"/>
      <c r="G37" s="629"/>
      <c r="H37" s="629"/>
      <c r="I37" s="629"/>
      <c r="J37" s="629"/>
      <c r="K37" s="848"/>
      <c r="L37" s="849"/>
      <c r="M37" s="849"/>
      <c r="N37" s="850"/>
      <c r="O37" s="629"/>
      <c r="P37" s="629"/>
      <c r="Q37" s="629"/>
      <c r="R37" s="629"/>
      <c r="S37" s="629"/>
      <c r="T37" s="629"/>
      <c r="U37" s="830" t="str">
        <f>D15&amp;" (W3,7)"</f>
        <v>Manufacturing (ISIC 10-33) (W3,7)</v>
      </c>
      <c r="V37" s="831"/>
      <c r="W37" s="831"/>
      <c r="X37" s="831"/>
      <c r="Y37" s="831"/>
      <c r="Z37" s="831"/>
      <c r="AA37" s="831"/>
      <c r="AB37" s="832"/>
      <c r="AC37" s="290"/>
      <c r="AD37" s="625"/>
      <c r="AE37" s="625"/>
      <c r="AF37" s="625"/>
      <c r="AG37" s="288"/>
      <c r="AH37" s="288"/>
      <c r="AI37" s="288"/>
      <c r="AJ37" s="288"/>
      <c r="AK37" s="288"/>
      <c r="AL37" s="775"/>
      <c r="AM37" s="775"/>
      <c r="AN37" s="775"/>
      <c r="AO37" s="775"/>
      <c r="AP37" s="775"/>
      <c r="AQ37" s="775"/>
      <c r="AR37" s="775"/>
      <c r="AS37" s="775"/>
      <c r="AT37" s="775"/>
      <c r="AU37" s="775"/>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30" t="str">
        <f>D16&amp;" (W3,8)"</f>
        <v>Electricity, gas, steam and air conditioning supply  (ISIC 35) (W3,8)</v>
      </c>
      <c r="V39" s="831"/>
      <c r="W39" s="831"/>
      <c r="X39" s="831"/>
      <c r="Y39" s="831"/>
      <c r="Z39" s="831"/>
      <c r="AA39" s="831"/>
      <c r="AB39" s="832"/>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30" t="str">
        <f>D18&amp;" (W3,10)"</f>
        <v>Construction (ISIC 41-43) (W3,10)</v>
      </c>
      <c r="V41" s="831"/>
      <c r="W41" s="831"/>
      <c r="X41" s="831"/>
      <c r="Y41" s="831"/>
      <c r="Z41" s="831"/>
      <c r="AA41" s="831"/>
      <c r="AB41" s="832"/>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37" t="str">
        <f>D9&amp;" (W3, 2)"</f>
        <v>Losses during transport by ISIC 36 (W3, 2)</v>
      </c>
      <c r="F42" s="838"/>
      <c r="G42" s="838"/>
      <c r="H42" s="839"/>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08"/>
      <c r="F43" s="809"/>
      <c r="G43" s="809"/>
      <c r="H43" s="810"/>
      <c r="I43" s="291"/>
      <c r="J43" s="291"/>
      <c r="K43" s="291"/>
      <c r="L43" s="291"/>
      <c r="M43" s="291"/>
      <c r="N43" s="291"/>
      <c r="O43" s="291"/>
      <c r="P43" s="291"/>
      <c r="Q43" s="291"/>
      <c r="R43" s="291"/>
      <c r="S43" s="291"/>
      <c r="T43" s="291"/>
      <c r="U43" s="830" t="str">
        <f>D19&amp;" (W3,11)"</f>
        <v>Other economic activities (W3,11)</v>
      </c>
      <c r="V43" s="831"/>
      <c r="W43" s="831"/>
      <c r="X43" s="831"/>
      <c r="Y43" s="831"/>
      <c r="Z43" s="831"/>
      <c r="AA43" s="831"/>
      <c r="AB43" s="832"/>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7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1:56" ht="18" customHeight="1">
      <c r="A48" s="180">
        <v>0</v>
      </c>
      <c r="B48" s="181">
        <v>6568</v>
      </c>
      <c r="C48" s="542" t="s">
        <v>635</v>
      </c>
      <c r="D48" s="771" t="s">
        <v>645</v>
      </c>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72"/>
      <c r="AI48" s="772"/>
      <c r="AJ48" s="772"/>
      <c r="AK48" s="772"/>
      <c r="AL48" s="772"/>
      <c r="AM48" s="772"/>
      <c r="AN48" s="772"/>
      <c r="AO48" s="772"/>
      <c r="AP48" s="772"/>
      <c r="AQ48" s="772"/>
      <c r="AR48" s="772"/>
      <c r="AS48" s="772"/>
      <c r="AT48" s="772"/>
      <c r="AU48" s="772"/>
      <c r="AV48" s="772"/>
      <c r="AW48" s="772"/>
      <c r="AX48" s="772"/>
      <c r="AY48" s="772"/>
      <c r="AZ48" s="772"/>
      <c r="BA48" s="772"/>
      <c r="BB48" s="773"/>
      <c r="BC48" s="476"/>
      <c r="BD48" s="473"/>
    </row>
    <row r="49" spans="3:56" ht="18" customHeight="1">
      <c r="C49" s="542"/>
      <c r="D49" s="784"/>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85"/>
      <c r="BB49" s="786"/>
      <c r="BC49" s="476"/>
      <c r="BD49" s="473"/>
    </row>
    <row r="50" spans="3:56" ht="18" customHeight="1">
      <c r="C50" s="542"/>
      <c r="D50" s="784"/>
      <c r="E50" s="785"/>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c r="AF50" s="785"/>
      <c r="AG50" s="785"/>
      <c r="AH50" s="785"/>
      <c r="AI50" s="785"/>
      <c r="AJ50" s="785"/>
      <c r="AK50" s="785"/>
      <c r="AL50" s="785"/>
      <c r="AM50" s="785"/>
      <c r="AN50" s="785"/>
      <c r="AO50" s="785"/>
      <c r="AP50" s="785"/>
      <c r="AQ50" s="785"/>
      <c r="AR50" s="785"/>
      <c r="AS50" s="785"/>
      <c r="AT50" s="785"/>
      <c r="AU50" s="785"/>
      <c r="AV50" s="785"/>
      <c r="AW50" s="785"/>
      <c r="AX50" s="785"/>
      <c r="AY50" s="785"/>
      <c r="AZ50" s="785"/>
      <c r="BA50" s="785"/>
      <c r="BB50" s="786"/>
      <c r="BC50" s="476"/>
      <c r="BD50" s="473"/>
    </row>
    <row r="51" spans="3:56" ht="18" customHeight="1">
      <c r="C51" s="542"/>
      <c r="D51" s="784"/>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5"/>
      <c r="AY51" s="785"/>
      <c r="AZ51" s="785"/>
      <c r="BA51" s="785"/>
      <c r="BB51" s="786"/>
      <c r="BC51" s="476"/>
      <c r="BD51" s="473"/>
    </row>
    <row r="52" spans="3:56" ht="18" customHeight="1">
      <c r="C52" s="542"/>
      <c r="D52" s="784"/>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85"/>
      <c r="BB52" s="786"/>
      <c r="BC52" s="476"/>
      <c r="BD52" s="473"/>
    </row>
    <row r="53" spans="3:56" ht="18" customHeight="1">
      <c r="C53" s="542"/>
      <c r="D53" s="784"/>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6"/>
      <c r="BC53" s="476"/>
      <c r="BD53" s="473"/>
    </row>
    <row r="54" spans="3:56" ht="18" customHeight="1">
      <c r="C54" s="542"/>
      <c r="D54" s="784"/>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6"/>
      <c r="BC54" s="476"/>
      <c r="BD54" s="473"/>
    </row>
    <row r="55" spans="3:56" ht="18" customHeight="1">
      <c r="C55" s="542"/>
      <c r="D55" s="784"/>
      <c r="E55" s="785"/>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6"/>
      <c r="BC55" s="476"/>
      <c r="BD55" s="473"/>
    </row>
    <row r="56" spans="3:105" ht="18" customHeight="1">
      <c r="C56" s="542"/>
      <c r="D56" s="784"/>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6"/>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84"/>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6"/>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84"/>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5"/>
      <c r="BA58" s="785"/>
      <c r="BB58" s="786"/>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84"/>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85"/>
      <c r="BB59" s="786"/>
      <c r="BC59" s="476"/>
    </row>
    <row r="60" spans="3:55" ht="18" customHeight="1">
      <c r="C60" s="542"/>
      <c r="D60" s="784"/>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85"/>
      <c r="BB60" s="786"/>
      <c r="BC60" s="476"/>
    </row>
    <row r="61" spans="3:55" ht="18" customHeight="1">
      <c r="C61" s="542"/>
      <c r="D61" s="784"/>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85"/>
      <c r="BB61" s="786"/>
      <c r="BC61" s="476"/>
    </row>
    <row r="62" spans="3:55" ht="18" customHeight="1">
      <c r="C62" s="542"/>
      <c r="D62" s="784"/>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5"/>
      <c r="AZ62" s="785"/>
      <c r="BA62" s="785"/>
      <c r="BB62" s="786"/>
      <c r="BC62" s="476"/>
    </row>
    <row r="63" spans="3:55" ht="18" customHeight="1">
      <c r="C63" s="542"/>
      <c r="D63" s="784"/>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5"/>
      <c r="BA63" s="785"/>
      <c r="BB63" s="786"/>
      <c r="BC63" s="476"/>
    </row>
    <row r="64" spans="3:55" ht="18" customHeight="1">
      <c r="C64" s="542"/>
      <c r="D64" s="784"/>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85"/>
      <c r="BB64" s="786"/>
      <c r="BC64" s="476"/>
    </row>
    <row r="65" spans="3:55" ht="18" customHeight="1">
      <c r="C65" s="542"/>
      <c r="D65" s="784"/>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5"/>
      <c r="AY65" s="785"/>
      <c r="AZ65" s="785"/>
      <c r="BA65" s="785"/>
      <c r="BB65" s="786"/>
      <c r="BC65" s="476"/>
    </row>
    <row r="66" spans="3:55" ht="18" customHeight="1">
      <c r="C66" s="542"/>
      <c r="D66" s="784"/>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85"/>
      <c r="BB66" s="786"/>
      <c r="BC66" s="476"/>
    </row>
    <row r="67" spans="3:55" ht="18" customHeight="1">
      <c r="C67" s="542"/>
      <c r="D67" s="784"/>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5"/>
      <c r="AO67" s="785"/>
      <c r="AP67" s="785"/>
      <c r="AQ67" s="785"/>
      <c r="AR67" s="785"/>
      <c r="AS67" s="785"/>
      <c r="AT67" s="785"/>
      <c r="AU67" s="785"/>
      <c r="AV67" s="785"/>
      <c r="AW67" s="785"/>
      <c r="AX67" s="785"/>
      <c r="AY67" s="785"/>
      <c r="AZ67" s="785"/>
      <c r="BA67" s="785"/>
      <c r="BB67" s="786"/>
      <c r="BC67" s="476"/>
    </row>
    <row r="68" spans="3:55" ht="18" customHeight="1">
      <c r="C68" s="581"/>
      <c r="D68" s="784"/>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5"/>
      <c r="BB68" s="786"/>
      <c r="BC68" s="476"/>
    </row>
    <row r="69" spans="3:55" ht="18" customHeight="1">
      <c r="C69" s="579"/>
      <c r="D69" s="793"/>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794"/>
      <c r="AY69" s="794"/>
      <c r="AZ69" s="794"/>
      <c r="BA69" s="794"/>
      <c r="BB69" s="795"/>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formatCells="0" formatColumns="0" formatRows="0" insertColumns="0"/>
  <mergeCells count="45">
    <mergeCell ref="AL31:AU31"/>
    <mergeCell ref="AL33:AU33"/>
    <mergeCell ref="AL37:AU37"/>
    <mergeCell ref="D52:BB52"/>
    <mergeCell ref="D49:BB49"/>
    <mergeCell ref="D50:BB50"/>
    <mergeCell ref="D51:BB51"/>
    <mergeCell ref="D48:BB48"/>
    <mergeCell ref="D33:D37"/>
    <mergeCell ref="K32:N37"/>
    <mergeCell ref="D58:BB58"/>
    <mergeCell ref="D69:BB69"/>
    <mergeCell ref="D65:BB65"/>
    <mergeCell ref="D66:BB66"/>
    <mergeCell ref="D67:BB67"/>
    <mergeCell ref="D68:BB68"/>
    <mergeCell ref="D59:BB59"/>
    <mergeCell ref="D64:BB64"/>
    <mergeCell ref="D62:BB62"/>
    <mergeCell ref="U33:AB33"/>
    <mergeCell ref="U37:AB37"/>
    <mergeCell ref="U35:AB35"/>
    <mergeCell ref="U39:AB39"/>
    <mergeCell ref="E42:H43"/>
    <mergeCell ref="D57:BB57"/>
    <mergeCell ref="BQ3:BS3"/>
    <mergeCell ref="D27:BB27"/>
    <mergeCell ref="D29:BB29"/>
    <mergeCell ref="C5:AN5"/>
    <mergeCell ref="D28:AU28"/>
    <mergeCell ref="D61:BB61"/>
    <mergeCell ref="D60:BB60"/>
    <mergeCell ref="P33:Q33"/>
    <mergeCell ref="D26:BB26"/>
    <mergeCell ref="BK3:BM3"/>
    <mergeCell ref="D30:BB30"/>
    <mergeCell ref="D55:BB55"/>
    <mergeCell ref="D56:BB56"/>
    <mergeCell ref="D63:BB63"/>
    <mergeCell ref="U31:AB31"/>
    <mergeCell ref="D53:BB53"/>
    <mergeCell ref="D54:BB54"/>
    <mergeCell ref="AH33:AI33"/>
    <mergeCell ref="U41:AB41"/>
    <mergeCell ref="U43:AB43"/>
  </mergeCells>
  <conditionalFormatting sqref="F10 H10 J10 L10 N10 P10 R10 T10 V10 X10 Z10 AB10 AD10 AF10 AH10 AJ10 AL10 AN10 AP10 AR10 AT10 AV10 AX10 AZ10">
    <cfRule type="cellIs" priority="6" dxfId="226" operator="lessThan" stopIfTrue="1">
      <formula>0.99*(F12+F13+F14+F15+F16+F18+F19)</formula>
    </cfRule>
  </conditionalFormatting>
  <conditionalFormatting sqref="F8 H8 J8 L8 N8 P8 R8 T8 V8 X8 Z8 AB8 AD8 AF8 AH8 AJ8 AL8 AN8 AP8 AR8 AT8 AV8 AX8 AZ8">
    <cfRule type="cellIs" priority="5" dxfId="227" operator="lessThan" stopIfTrue="1">
      <formula>0.99*(F9+F10)</formula>
    </cfRule>
  </conditionalFormatting>
  <conditionalFormatting sqref="BG28:DA28 BG30:DA31">
    <cfRule type="cellIs" priority="3" dxfId="226"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26" operator="equal" stopIfTrue="1">
      <formula>"&gt; 25%"</formula>
    </cfRule>
  </conditionalFormatting>
  <conditionalFormatting sqref="BI8:BI10 BI12:BI19">
    <cfRule type="cellIs" priority="4" dxfId="226" operator="equal" stopIfTrue="1">
      <formula>"&gt; 100%"</formula>
    </cfRule>
  </conditionalFormatting>
  <conditionalFormatting sqref="CW21:CW23 CY21:CY23 CW8:CW10 CY8:CY10 CY12:CY19 CW12:CW19">
    <cfRule type="cellIs" priority="1" dxfId="226"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ignoredErrors>
    <ignoredError sqref="AR9:AZ9"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40" workbookViewId="0" topLeftCell="C1">
      <selection activeCell="F8" sqref="F8"/>
    </sheetView>
  </sheetViews>
  <sheetFormatPr defaultColWidth="9.33203125" defaultRowHeight="12.75"/>
  <cols>
    <col min="1" max="1" width="6.83203125" style="180" hidden="1" customWidth="1"/>
    <col min="2" max="2" width="6.5" style="181" hidden="1" customWidth="1"/>
    <col min="3" max="3" width="11.33203125" style="193" customWidth="1"/>
    <col min="4" max="4" width="46.832031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v>388</v>
      </c>
      <c r="C3" s="337" t="s">
        <v>311</v>
      </c>
      <c r="D3" s="30" t="s">
        <v>410</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796" t="s">
        <v>217</v>
      </c>
      <c r="D5" s="796"/>
      <c r="E5" s="835"/>
      <c r="F5" s="835"/>
      <c r="G5" s="835"/>
      <c r="H5" s="835"/>
      <c r="I5" s="798"/>
      <c r="J5" s="798"/>
      <c r="K5" s="798"/>
      <c r="L5" s="798"/>
      <c r="M5" s="798"/>
      <c r="N5" s="798"/>
      <c r="O5" s="798"/>
      <c r="P5" s="798"/>
      <c r="Q5" s="798"/>
      <c r="R5" s="798"/>
      <c r="S5" s="798"/>
      <c r="T5" s="798"/>
      <c r="U5" s="798"/>
      <c r="V5" s="798"/>
      <c r="W5" s="798"/>
      <c r="X5" s="835"/>
      <c r="Y5" s="798"/>
      <c r="Z5" s="835"/>
      <c r="AA5" s="798"/>
      <c r="AB5" s="835"/>
      <c r="AC5" s="798"/>
      <c r="AD5" s="835"/>
      <c r="AE5" s="798"/>
      <c r="AF5" s="835"/>
      <c r="AG5" s="798"/>
      <c r="AH5" s="835"/>
      <c r="AI5" s="798"/>
      <c r="AJ5" s="798"/>
      <c r="AK5" s="798"/>
      <c r="AL5" s="835"/>
      <c r="AM5" s="798"/>
      <c r="AN5" s="835"/>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7">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c r="I17" s="585"/>
      <c r="J17" s="602"/>
      <c r="K17" s="585"/>
      <c r="L17" s="602"/>
      <c r="M17" s="585"/>
      <c r="N17" s="602"/>
      <c r="O17" s="585"/>
      <c r="P17" s="602"/>
      <c r="Q17" s="585"/>
      <c r="R17" s="602"/>
      <c r="S17" s="585"/>
      <c r="T17" s="602"/>
      <c r="U17" s="585"/>
      <c r="V17" s="602"/>
      <c r="W17" s="585"/>
      <c r="X17" s="602"/>
      <c r="Y17" s="585"/>
      <c r="Z17" s="602"/>
      <c r="AA17" s="585"/>
      <c r="AB17" s="602"/>
      <c r="AC17" s="585"/>
      <c r="AD17" s="602"/>
      <c r="AE17" s="585"/>
      <c r="AF17" s="602"/>
      <c r="AG17" s="585"/>
      <c r="AH17" s="602"/>
      <c r="AI17" s="585"/>
      <c r="AJ17" s="602"/>
      <c r="AK17" s="585"/>
      <c r="AL17" s="602"/>
      <c r="AM17" s="585"/>
      <c r="AN17" s="602"/>
      <c r="AO17" s="585"/>
      <c r="AP17" s="602"/>
      <c r="AQ17" s="585"/>
      <c r="AR17" s="602"/>
      <c r="AS17" s="585"/>
      <c r="AT17" s="602"/>
      <c r="AU17" s="585"/>
      <c r="AV17" s="602"/>
      <c r="AW17" s="585"/>
      <c r="AX17" s="602"/>
      <c r="AY17" s="585"/>
      <c r="AZ17" s="602"/>
      <c r="BA17" s="585"/>
      <c r="BD17" s="82">
        <v>10</v>
      </c>
      <c r="BE17" s="248" t="s">
        <v>126</v>
      </c>
      <c r="BF17" s="82" t="s">
        <v>608</v>
      </c>
      <c r="BG17" s="117" t="s">
        <v>85</v>
      </c>
      <c r="BH17" s="116"/>
      <c r="BI17" s="97" t="str">
        <f t="shared" si="22"/>
        <v>N/A</v>
      </c>
      <c r="BJ17" s="115"/>
      <c r="BK17" s="97" t="str">
        <f>IF(OR(ISBLANK(H17),ISBLANK(J17)),"N/A",IF(ABS((J17-H17)/H17)&gt;0.25,"&gt; 25%","ok"))</f>
        <v>N/A</v>
      </c>
      <c r="BL17" s="116"/>
      <c r="BM17" s="97" t="str">
        <f t="shared" si="1"/>
        <v>N/A</v>
      </c>
      <c r="BN17" s="116"/>
      <c r="BO17" s="97" t="str">
        <f t="shared" si="2"/>
        <v>N/A</v>
      </c>
      <c r="BP17" s="116"/>
      <c r="BQ17" s="97" t="str">
        <f t="shared" si="3"/>
        <v>N/A</v>
      </c>
      <c r="BR17" s="116"/>
      <c r="BS17" s="97" t="str">
        <f t="shared" si="4"/>
        <v>N/A</v>
      </c>
      <c r="BT17" s="116"/>
      <c r="BU17" s="97" t="str">
        <f t="shared" si="5"/>
        <v>N/A</v>
      </c>
      <c r="BV17" s="115"/>
      <c r="BW17" s="97" t="str">
        <f t="shared" si="6"/>
        <v>N/A</v>
      </c>
      <c r="BX17" s="82"/>
      <c r="BY17" s="97" t="str">
        <f t="shared" si="7"/>
        <v>N/A</v>
      </c>
      <c r="BZ17" s="115"/>
      <c r="CA17" s="97" t="str">
        <f t="shared" si="8"/>
        <v>N/A</v>
      </c>
      <c r="CB17" s="82"/>
      <c r="CC17" s="97" t="str">
        <f t="shared" si="9"/>
        <v>N/A</v>
      </c>
      <c r="CD17" s="116"/>
      <c r="CE17" s="97" t="str">
        <f t="shared" si="10"/>
        <v>N/A</v>
      </c>
      <c r="CF17" s="115"/>
      <c r="CG17" s="97" t="str">
        <f t="shared" si="11"/>
        <v>N/A</v>
      </c>
      <c r="CH17" s="82"/>
      <c r="CI17" s="97" t="str">
        <f t="shared" si="12"/>
        <v>N/A</v>
      </c>
      <c r="CJ17" s="116"/>
      <c r="CK17" s="97" t="str">
        <f t="shared" si="13"/>
        <v>N/A</v>
      </c>
      <c r="CL17" s="82"/>
      <c r="CM17" s="97" t="str">
        <f t="shared" si="14"/>
        <v>N/A</v>
      </c>
      <c r="CN17" s="82"/>
      <c r="CO17" s="97" t="str">
        <f t="shared" si="15"/>
        <v>N/A</v>
      </c>
      <c r="CP17" s="115"/>
      <c r="CQ17" s="97" t="str">
        <f t="shared" si="16"/>
        <v>N/A</v>
      </c>
      <c r="CR17" s="115"/>
      <c r="CS17" s="97" t="str">
        <f t="shared" si="17"/>
        <v>N/A</v>
      </c>
      <c r="CT17" s="82"/>
      <c r="CU17" s="97" t="str">
        <f t="shared" si="18"/>
        <v>N/A</v>
      </c>
      <c r="CV17" s="116"/>
      <c r="CW17" s="97" t="str">
        <f t="shared" si="19"/>
        <v>N/A</v>
      </c>
      <c r="CX17" s="82"/>
      <c r="CY17" s="97" t="str">
        <f t="shared" si="20"/>
        <v>N/A</v>
      </c>
      <c r="CZ17" s="116"/>
      <c r="DA17" s="97" t="str">
        <f t="shared" si="21"/>
        <v>N/A</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c r="AK18" s="585"/>
      <c r="AL18" s="602"/>
      <c r="AM18" s="585"/>
      <c r="AN18" s="602"/>
      <c r="AO18" s="585"/>
      <c r="AP18" s="602"/>
      <c r="AQ18" s="585"/>
      <c r="AR18" s="602"/>
      <c r="AS18" s="585"/>
      <c r="AT18" s="602"/>
      <c r="AU18" s="585"/>
      <c r="AV18" s="602"/>
      <c r="AW18" s="585"/>
      <c r="AX18" s="602"/>
      <c r="AY18" s="585"/>
      <c r="AZ18" s="602"/>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N/A</v>
      </c>
      <c r="CN18" s="82"/>
      <c r="CO18" s="97" t="str">
        <f>IF(OR(ISBLANK(AL18),ISBLANK(AN18)),"N/A",IF(ABS((AN18-AL18)/AL18)&gt;0.25,"&gt; 25%","ok"))</f>
        <v>N/A</v>
      </c>
      <c r="CP18" s="115"/>
      <c r="CQ18" s="97" t="str">
        <f>IF(OR(ISBLANK(AN18),ISBLANK(AP18)),"N/A",IF(ABS((AP18-AN18)/AN18)&gt;0.25,"&gt; 25%","ok"))</f>
        <v>N/A</v>
      </c>
      <c r="CR18" s="115"/>
      <c r="CS18" s="97" t="str">
        <f>IF(OR(ISBLANK(AP18),ISBLANK(AR18)),"N/A",IF(ABS((AR18-AP18)/AP18)&gt;0.25,"&gt; 25%","ok"))</f>
        <v>N/A</v>
      </c>
      <c r="CT18" s="82"/>
      <c r="CU18" s="97" t="str">
        <f>IF(OR(ISBLANK(AR18),ISBLANK(AT18)),"N/A",IF(ABS((AT18-AR18)/AR18)&gt;0.25,"&gt; 25%","ok"))</f>
        <v>N/A</v>
      </c>
      <c r="CV18" s="116"/>
      <c r="CW18" s="97" t="str">
        <f>IF(OR(ISBLANK(AT18),ISBLANK(AV18)),"N/A",IF(ABS((AV18-AT18)/AT18)&gt;0.25,"&gt; 25%","ok"))</f>
        <v>N/A</v>
      </c>
      <c r="CX18" s="82"/>
      <c r="CY18" s="97" t="str">
        <f>IF(OR(ISBLANK(AV18),ISBLANK(AX18)),"N/A",IF(ABS((AX18-AV18)/AV18)&gt;0.25,"&gt; 25%","ok"))</f>
        <v>N/A</v>
      </c>
      <c r="CZ18" s="116"/>
      <c r="DA18" s="97" t="str">
        <f t="shared" si="21"/>
        <v>N/A</v>
      </c>
      <c r="DB18" s="209"/>
      <c r="DC18" s="285"/>
    </row>
    <row r="19" spans="2:107" ht="18.75" customHeight="1">
      <c r="B19" s="237">
        <v>98</v>
      </c>
      <c r="C19" s="255">
        <v>12</v>
      </c>
      <c r="D19" s="446" t="s">
        <v>92</v>
      </c>
      <c r="E19" s="255" t="s">
        <v>314</v>
      </c>
      <c r="F19" s="602"/>
      <c r="G19" s="585"/>
      <c r="H19" s="602"/>
      <c r="I19" s="585"/>
      <c r="J19" s="602"/>
      <c r="K19" s="585"/>
      <c r="L19" s="602"/>
      <c r="M19" s="585"/>
      <c r="N19" s="602"/>
      <c r="O19" s="585"/>
      <c r="P19" s="602"/>
      <c r="Q19" s="585"/>
      <c r="R19" s="602"/>
      <c r="S19" s="585"/>
      <c r="T19" s="602"/>
      <c r="U19" s="585"/>
      <c r="V19" s="602"/>
      <c r="W19" s="585"/>
      <c r="X19" s="602"/>
      <c r="Y19" s="585"/>
      <c r="Z19" s="602"/>
      <c r="AA19" s="585"/>
      <c r="AB19" s="602"/>
      <c r="AC19" s="585"/>
      <c r="AD19" s="602"/>
      <c r="AE19" s="585"/>
      <c r="AF19" s="602"/>
      <c r="AG19" s="585"/>
      <c r="AH19" s="602"/>
      <c r="AI19" s="585"/>
      <c r="AJ19" s="602"/>
      <c r="AK19" s="585"/>
      <c r="AL19" s="602"/>
      <c r="AM19" s="585"/>
      <c r="AN19" s="602"/>
      <c r="AO19" s="585"/>
      <c r="AP19" s="602"/>
      <c r="AQ19" s="585"/>
      <c r="AR19" s="602"/>
      <c r="AS19" s="585"/>
      <c r="AT19" s="602"/>
      <c r="AU19" s="585"/>
      <c r="AV19" s="602"/>
      <c r="AW19" s="585"/>
      <c r="AX19" s="602"/>
      <c r="AY19" s="585"/>
      <c r="AZ19" s="602"/>
      <c r="BA19" s="585"/>
      <c r="BD19" s="82">
        <v>12</v>
      </c>
      <c r="BE19" s="449" t="s">
        <v>92</v>
      </c>
      <c r="BF19" s="82" t="s">
        <v>608</v>
      </c>
      <c r="BG19" s="117" t="s">
        <v>85</v>
      </c>
      <c r="BH19" s="116"/>
      <c r="BI19" s="97" t="str">
        <f t="shared" si="22"/>
        <v>N/A</v>
      </c>
      <c r="BJ19" s="115"/>
      <c r="BK19" s="97" t="str">
        <f t="shared" si="0"/>
        <v>N/A</v>
      </c>
      <c r="BL19" s="116"/>
      <c r="BM19" s="97" t="str">
        <f t="shared" si="1"/>
        <v>N/A</v>
      </c>
      <c r="BN19" s="116"/>
      <c r="BO19" s="97" t="str">
        <f t="shared" si="2"/>
        <v>N/A</v>
      </c>
      <c r="BP19" s="116"/>
      <c r="BQ19" s="97" t="str">
        <f t="shared" si="3"/>
        <v>N/A</v>
      </c>
      <c r="BR19" s="116"/>
      <c r="BS19" s="97" t="str">
        <f>IF(OR(ISBLANK(P19),ISBLANK(R19)),"N/A",IF(ABS((R19-P19)/P19)&gt;0.25,"&gt; 25%","ok"))</f>
        <v>N/A</v>
      </c>
      <c r="BT19" s="116"/>
      <c r="BU19" s="97" t="str">
        <f>IF(OR(ISBLANK(R19),ISBLANK(T19)),"N/A",IF(ABS((T19-R19)/R19)&gt;0.25,"&gt; 25%","ok"))</f>
        <v>N/A</v>
      </c>
      <c r="BV19" s="115"/>
      <c r="BW19" s="97" t="str">
        <f>IF(OR(ISBLANK(T19),ISBLANK(V19)),"N/A",IF(ABS((V19-T19)/T19)&gt;0.25,"&gt; 25%","ok"))</f>
        <v>N/A</v>
      </c>
      <c r="BX19" s="82"/>
      <c r="BY19" s="97" t="str">
        <f>IF(OR(ISBLANK(V19),ISBLANK(X19)),"N/A",IF(ABS((X19-V19)/V19)&gt;0.25,"&gt; 25%","ok"))</f>
        <v>N/A</v>
      </c>
      <c r="BZ19" s="115"/>
      <c r="CA19" s="97" t="str">
        <f>IF(OR(ISBLANK(X19),ISBLANK(Z19)),"N/A",IF(ABS((Z19-X19)/X19)&gt;0.25,"&gt; 25%","ok"))</f>
        <v>N/A</v>
      </c>
      <c r="CB19" s="82"/>
      <c r="CC19" s="97" t="str">
        <f>IF(OR(ISBLANK(Z19),ISBLANK(AB19)),"N/A",IF(ABS((AB19-Z19)/Z19)&gt;0.25,"&gt; 25%","ok"))</f>
        <v>N/A</v>
      </c>
      <c r="CD19" s="116"/>
      <c r="CE19" s="97" t="str">
        <f>IF(OR(ISBLANK(AB19),ISBLANK(AD19)),"N/A",IF(ABS((AD19-AB19)/AB19)&gt;0.25,"&gt; 25%","ok"))</f>
        <v>N/A</v>
      </c>
      <c r="CF19" s="115"/>
      <c r="CG19" s="97" t="str">
        <f>IF(OR(ISBLANK(AD19),ISBLANK(AF19)),"N/A",IF(ABS((AF19-AD19)/AD19)&gt;0.25,"&gt; 25%","ok"))</f>
        <v>N/A</v>
      </c>
      <c r="CH19" s="82"/>
      <c r="CI19" s="97" t="str">
        <f>IF(OR(ISBLANK(AF19),ISBLANK(AH19)),"N/A",IF(ABS((AH19-AF19)/AF19)&gt;0.25,"&gt; 25%","ok"))</f>
        <v>N/A</v>
      </c>
      <c r="CJ19" s="116"/>
      <c r="CK19" s="97" t="str">
        <f>IF(OR(ISBLANK(AH19),ISBLANK(AJ19)),"N/A",IF(ABS((AJ19-AH19)/AH19)&gt;0.25,"&gt; 25%","ok"))</f>
        <v>N/A</v>
      </c>
      <c r="CL19" s="82"/>
      <c r="CM19" s="97" t="str">
        <f>IF(OR(ISBLANK(AJ19),ISBLANK(AL19)),"N/A",IF(ABS((AL19-AJ19)/AJ19)&gt;0.25,"&gt; 25%","ok"))</f>
        <v>N/A</v>
      </c>
      <c r="CN19" s="82"/>
      <c r="CO19" s="97" t="str">
        <f>IF(OR(ISBLANK(AL19),ISBLANK(AN19)),"N/A",IF(ABS((AN19-AL19)/AL19)&gt;0.25,"&gt; 25%","ok"))</f>
        <v>N/A</v>
      </c>
      <c r="CP19" s="115"/>
      <c r="CQ19" s="97" t="str">
        <f>IF(OR(ISBLANK(AN19),ISBLANK(AP19)),"N/A",IF(ABS((AP19-AN19)/AN19)&gt;0.25,"&gt; 25%","ok"))</f>
        <v>N/A</v>
      </c>
      <c r="CR19" s="115"/>
      <c r="CS19" s="97" t="str">
        <f>IF(OR(ISBLANK(AP19),ISBLANK(AR19)),"N/A",IF(ABS((AR19-AP19)/AP19)&gt;0.25,"&gt; 25%","ok"))</f>
        <v>N/A</v>
      </c>
      <c r="CT19" s="82"/>
      <c r="CU19" s="97" t="str">
        <f>IF(OR(ISBLANK(AR19),ISBLANK(AT19)),"N/A",IF(ABS((AT19-AR19)/AR19)&gt;0.25,"&gt; 25%","ok"))</f>
        <v>N/A</v>
      </c>
      <c r="CV19" s="116"/>
      <c r="CW19" s="97" t="str">
        <f>IF(OR(ISBLANK(AT19),ISBLANK(AV19)),"N/A",IF(ABS((AV19-AT19)/AT19)&gt;0.25,"&gt; 25%","ok"))</f>
        <v>N/A</v>
      </c>
      <c r="CX19" s="82"/>
      <c r="CY19" s="97" t="str">
        <f>IF(OR(ISBLANK(AV19),ISBLANK(AX19)),"N/A",IF(ABS((AX19-AV19)/AV19)&gt;0.25,"&gt; 25%","ok"))</f>
        <v>N/A</v>
      </c>
      <c r="CZ19" s="116"/>
      <c r="DA19" s="97" t="str">
        <f t="shared" si="21"/>
        <v>N/A</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IF(OR(ISBLANK(AV20),ISBLANK(AX20)),"N/A",IF(ABS((AX20-AV20)/AV20)&gt;0.25,"&gt; 25%","ok"))</f>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IF(OR(ISBLANK(AV21),ISBLANK(AX21)),"N/A",IF(ABS((AX21-AV21)/AV21)&gt;0.25,"&gt; 25%","ok"))</f>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3" ref="BS22:BS27">IF(OR(ISBLANK(P22),ISBLANK(R22)),"N/A",IF(ABS((R22-P22)/P22)&gt;0.25,"&gt; 25%","ok"))</f>
        <v>N/A</v>
      </c>
      <c r="BT22" s="82"/>
      <c r="BU22" s="97" t="str">
        <f aca="true" t="shared" si="24" ref="BU22:BU27">IF(OR(ISBLANK(R22),ISBLANK(T22)),"N/A",IF(ABS((T22-R22)/R22)&gt;0.25,"&gt; 25%","ok"))</f>
        <v>N/A</v>
      </c>
      <c r="BV22" s="82"/>
      <c r="BW22" s="97" t="str">
        <f aca="true" t="shared" si="25" ref="BW22:BW27">IF(OR(ISBLANK(T22),ISBLANK(V22)),"N/A",IF(ABS((V22-T22)/T22)&gt;0.25,"&gt; 25%","ok"))</f>
        <v>N/A</v>
      </c>
      <c r="BX22" s="82"/>
      <c r="BY22" s="97" t="str">
        <f aca="true" t="shared" si="26" ref="BY22:BY27">IF(OR(ISBLANK(V22),ISBLANK(X22)),"N/A",IF(ABS((X22-V22)/V22)&gt;0.25,"&gt; 25%","ok"))</f>
        <v>N/A</v>
      </c>
      <c r="BZ22" s="115"/>
      <c r="CA22" s="97" t="str">
        <f aca="true" t="shared" si="27" ref="CA22:CA27">IF(OR(ISBLANK(X22),ISBLANK(Z22)),"N/A",IF(ABS((Z22-X22)/X22)&gt;0.25,"&gt; 25%","ok"))</f>
        <v>N/A</v>
      </c>
      <c r="CB22" s="82"/>
      <c r="CC22" s="97" t="str">
        <f aca="true" t="shared" si="28" ref="CC22:CC27">IF(OR(ISBLANK(Z22),ISBLANK(AB22)),"N/A",IF(ABS((AB22-Z22)/Z22)&gt;0.25,"&gt; 25%","ok"))</f>
        <v>N/A</v>
      </c>
      <c r="CD22" s="116"/>
      <c r="CE22" s="97" t="str">
        <f aca="true" t="shared" si="29" ref="CE22:CE27">IF(OR(ISBLANK(AB22),ISBLANK(AD22)),"N/A",IF(ABS((AD22-AB22)/AB22)&gt;0.25,"&gt; 25%","ok"))</f>
        <v>N/A</v>
      </c>
      <c r="CF22" s="115"/>
      <c r="CG22" s="97" t="str">
        <f aca="true" t="shared" si="30" ref="CG22:CG27">IF(OR(ISBLANK(AD22),ISBLANK(AF22)),"N/A",IF(ABS((AF22-AD22)/AD22)&gt;0.25,"&gt; 25%","ok"))</f>
        <v>N/A</v>
      </c>
      <c r="CH22" s="82"/>
      <c r="CI22" s="97" t="str">
        <f aca="true" t="shared" si="31" ref="CI22:CI27">IF(OR(ISBLANK(AF22),ISBLANK(AH22)),"N/A",IF(ABS((AH22-AF22)/AF22)&gt;0.25,"&gt; 25%","ok"))</f>
        <v>N/A</v>
      </c>
      <c r="CJ22" s="116"/>
      <c r="CK22" s="97" t="str">
        <f aca="true" t="shared" si="32" ref="CK22:CK27">IF(OR(ISBLANK(AH22),ISBLANK(AJ22)),"N/A",IF(ABS((AJ22-AH22)/AH22)&gt;0.25,"&gt; 25%","ok"))</f>
        <v>N/A</v>
      </c>
      <c r="CL22" s="82"/>
      <c r="CM22" s="97" t="str">
        <f aca="true" t="shared" si="33" ref="CM22:CM27">IF(OR(ISBLANK(AJ22),ISBLANK(AL22)),"N/A",IF(ABS((AL22-AJ22)/AJ22)&gt;0.25,"&gt; 25%","ok"))</f>
        <v>N/A</v>
      </c>
      <c r="CN22" s="82"/>
      <c r="CO22" s="97" t="str">
        <f aca="true" t="shared" si="34" ref="CO22:CO27">IF(OR(ISBLANK(AL22),ISBLANK(AN22)),"N/A",IF(ABS((AN22-AL22)/AL22)&gt;0.25,"&gt; 25%","ok"))</f>
        <v>N/A</v>
      </c>
      <c r="CP22" s="115"/>
      <c r="CQ22" s="97" t="str">
        <f aca="true" t="shared" si="35" ref="CQ22:CQ27">IF(OR(ISBLANK(AN22),ISBLANK(AP22)),"N/A",IF(ABS((AP22-AN22)/AN22)&gt;0.25,"&gt; 25%","ok"))</f>
        <v>N/A</v>
      </c>
      <c r="CR22" s="115"/>
      <c r="CS22" s="97" t="str">
        <f aca="true" t="shared" si="36" ref="CS22:CS27">IF(OR(ISBLANK(AP22),ISBLANK(AR22)),"N/A",IF(ABS((AR22-AP22)/AP22)&gt;0.25,"&gt; 25%","ok"))</f>
        <v>N/A</v>
      </c>
      <c r="CT22" s="82"/>
      <c r="CU22" s="97" t="str">
        <f aca="true" t="shared" si="37" ref="CU22:CU27">IF(OR(ISBLANK(AR22),ISBLANK(AT22)),"N/A",IF(ABS((AT22-AR22)/AR22)&gt;0.25,"&gt; 25%","ok"))</f>
        <v>N/A</v>
      </c>
      <c r="CV22" s="116"/>
      <c r="CW22" s="97" t="str">
        <f aca="true" t="shared" si="38" ref="CW22:CW27">IF(OR(ISBLANK(AT22),ISBLANK(AV22)),"N/A",IF(ABS((AV22-AT22)/AT22)&gt;0.25,"&gt; 25%","ok"))</f>
        <v>N/A</v>
      </c>
      <c r="CX22" s="82"/>
      <c r="CY22" s="97" t="str">
        <f aca="true" t="shared" si="39" ref="CY22:CY27">IF(OR(ISBLANK(AV22),ISBLANK(AX22)),"N/A",IF(ABS((AX22-AV22)/AV22)&gt;0.25,"&gt; 25%","ok"))</f>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3"/>
        <v>N/A</v>
      </c>
      <c r="BT23" s="82"/>
      <c r="BU23" s="97" t="str">
        <f t="shared" si="24"/>
        <v>N/A</v>
      </c>
      <c r="BV23" s="82"/>
      <c r="BW23" s="97" t="str">
        <f t="shared" si="25"/>
        <v>N/A</v>
      </c>
      <c r="BX23" s="82"/>
      <c r="BY23" s="97" t="str">
        <f t="shared" si="26"/>
        <v>N/A</v>
      </c>
      <c r="BZ23" s="115"/>
      <c r="CA23" s="97" t="str">
        <f t="shared" si="27"/>
        <v>N/A</v>
      </c>
      <c r="CB23" s="82"/>
      <c r="CC23" s="97" t="str">
        <f t="shared" si="28"/>
        <v>N/A</v>
      </c>
      <c r="CD23" s="117"/>
      <c r="CE23" s="97" t="str">
        <f t="shared" si="29"/>
        <v>N/A</v>
      </c>
      <c r="CF23" s="115"/>
      <c r="CG23" s="97" t="str">
        <f t="shared" si="30"/>
        <v>N/A</v>
      </c>
      <c r="CH23" s="82"/>
      <c r="CI23" s="97" t="str">
        <f t="shared" si="31"/>
        <v>N/A</v>
      </c>
      <c r="CJ23" s="117"/>
      <c r="CK23" s="97" t="str">
        <f t="shared" si="32"/>
        <v>N/A</v>
      </c>
      <c r="CL23" s="82"/>
      <c r="CM23" s="97" t="str">
        <f t="shared" si="33"/>
        <v>N/A</v>
      </c>
      <c r="CN23" s="82"/>
      <c r="CO23" s="97" t="str">
        <f t="shared" si="34"/>
        <v>N/A</v>
      </c>
      <c r="CP23" s="115"/>
      <c r="CQ23" s="97" t="str">
        <f t="shared" si="35"/>
        <v>N/A</v>
      </c>
      <c r="CR23" s="115"/>
      <c r="CS23" s="97" t="str">
        <f t="shared" si="36"/>
        <v>N/A</v>
      </c>
      <c r="CT23" s="82"/>
      <c r="CU23" s="97" t="str">
        <f t="shared" si="37"/>
        <v>N/A</v>
      </c>
      <c r="CV23" s="117"/>
      <c r="CW23" s="97" t="str">
        <f t="shared" si="38"/>
        <v>N/A</v>
      </c>
      <c r="CX23" s="82"/>
      <c r="CY23" s="97" t="str">
        <f t="shared" si="39"/>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3"/>
        <v>N/A</v>
      </c>
      <c r="BT24" s="82"/>
      <c r="BU24" s="97" t="str">
        <f t="shared" si="24"/>
        <v>N/A</v>
      </c>
      <c r="BV24" s="82"/>
      <c r="BW24" s="97" t="str">
        <f t="shared" si="25"/>
        <v>N/A</v>
      </c>
      <c r="BX24" s="82"/>
      <c r="BY24" s="97" t="str">
        <f t="shared" si="26"/>
        <v>N/A</v>
      </c>
      <c r="BZ24" s="115"/>
      <c r="CA24" s="97" t="str">
        <f t="shared" si="27"/>
        <v>N/A</v>
      </c>
      <c r="CB24" s="117"/>
      <c r="CC24" s="97" t="str">
        <f t="shared" si="28"/>
        <v>N/A</v>
      </c>
      <c r="CD24" s="117"/>
      <c r="CE24" s="97" t="str">
        <f t="shared" si="29"/>
        <v>N/A</v>
      </c>
      <c r="CF24" s="82"/>
      <c r="CG24" s="97" t="str">
        <f t="shared" si="30"/>
        <v>N/A</v>
      </c>
      <c r="CH24" s="117"/>
      <c r="CI24" s="97" t="str">
        <f t="shared" si="31"/>
        <v>N/A</v>
      </c>
      <c r="CJ24" s="117"/>
      <c r="CK24" s="97" t="str">
        <f t="shared" si="32"/>
        <v>N/A</v>
      </c>
      <c r="CL24" s="82"/>
      <c r="CM24" s="97" t="str">
        <f t="shared" si="33"/>
        <v>N/A</v>
      </c>
      <c r="CN24" s="82"/>
      <c r="CO24" s="97" t="str">
        <f t="shared" si="34"/>
        <v>N/A</v>
      </c>
      <c r="CP24" s="115"/>
      <c r="CQ24" s="97" t="str">
        <f t="shared" si="35"/>
        <v>N/A</v>
      </c>
      <c r="CR24" s="115"/>
      <c r="CS24" s="97" t="str">
        <f t="shared" si="36"/>
        <v>N/A</v>
      </c>
      <c r="CT24" s="117"/>
      <c r="CU24" s="97" t="str">
        <f t="shared" si="37"/>
        <v>N/A</v>
      </c>
      <c r="CV24" s="117"/>
      <c r="CW24" s="97" t="str">
        <f t="shared" si="38"/>
        <v>N/A</v>
      </c>
      <c r="CX24" s="117"/>
      <c r="CY24" s="97" t="str">
        <f t="shared" si="39"/>
        <v>N/A</v>
      </c>
      <c r="CZ24" s="117"/>
      <c r="DA24" s="97" t="str">
        <f t="shared" si="21"/>
        <v>N/A</v>
      </c>
      <c r="DB24" s="209"/>
      <c r="DC24" s="285"/>
    </row>
    <row r="25" spans="2:107" ht="27" customHeight="1">
      <c r="B25" s="237">
        <v>105</v>
      </c>
      <c r="C25" s="255">
        <v>18</v>
      </c>
      <c r="D25" s="263" t="s">
        <v>95</v>
      </c>
      <c r="E25" s="255" t="s">
        <v>314</v>
      </c>
      <c r="F25" s="602"/>
      <c r="G25" s="585"/>
      <c r="H25" s="602"/>
      <c r="I25" s="585"/>
      <c r="J25" s="602"/>
      <c r="K25" s="585"/>
      <c r="L25" s="602"/>
      <c r="M25" s="585"/>
      <c r="N25" s="602"/>
      <c r="O25" s="585"/>
      <c r="P25" s="602"/>
      <c r="Q25" s="585"/>
      <c r="R25" s="602"/>
      <c r="S25" s="585"/>
      <c r="T25" s="602"/>
      <c r="U25" s="585"/>
      <c r="V25" s="602"/>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N/A</v>
      </c>
      <c r="BL25" s="82"/>
      <c r="BM25" s="97" t="str">
        <f t="shared" si="1"/>
        <v>N/A</v>
      </c>
      <c r="BN25" s="82"/>
      <c r="BO25" s="97" t="str">
        <f t="shared" si="2"/>
        <v>N/A</v>
      </c>
      <c r="BP25" s="82"/>
      <c r="BQ25" s="97" t="str">
        <f t="shared" si="3"/>
        <v>N/A</v>
      </c>
      <c r="BR25" s="82"/>
      <c r="BS25" s="97" t="str">
        <f t="shared" si="23"/>
        <v>N/A</v>
      </c>
      <c r="BT25" s="82"/>
      <c r="BU25" s="97" t="str">
        <f t="shared" si="24"/>
        <v>N/A</v>
      </c>
      <c r="BV25" s="82"/>
      <c r="BW25" s="97" t="str">
        <f t="shared" si="25"/>
        <v>N/A</v>
      </c>
      <c r="BX25" s="82"/>
      <c r="BY25" s="97" t="str">
        <f t="shared" si="26"/>
        <v>N/A</v>
      </c>
      <c r="BZ25" s="115"/>
      <c r="CA25" s="97" t="str">
        <f t="shared" si="27"/>
        <v>N/A</v>
      </c>
      <c r="CB25" s="117"/>
      <c r="CC25" s="97" t="str">
        <f t="shared" si="28"/>
        <v>N/A</v>
      </c>
      <c r="CD25" s="117"/>
      <c r="CE25" s="97" t="str">
        <f t="shared" si="29"/>
        <v>N/A</v>
      </c>
      <c r="CF25" s="82"/>
      <c r="CG25" s="97" t="str">
        <f t="shared" si="30"/>
        <v>N/A</v>
      </c>
      <c r="CH25" s="117"/>
      <c r="CI25" s="97" t="str">
        <f t="shared" si="31"/>
        <v>N/A</v>
      </c>
      <c r="CJ25" s="117"/>
      <c r="CK25" s="97" t="str">
        <f t="shared" si="32"/>
        <v>N/A</v>
      </c>
      <c r="CL25" s="82"/>
      <c r="CM25" s="97" t="str">
        <f t="shared" si="33"/>
        <v>N/A</v>
      </c>
      <c r="CN25" s="82"/>
      <c r="CO25" s="97" t="str">
        <f t="shared" si="34"/>
        <v>N/A</v>
      </c>
      <c r="CP25" s="115"/>
      <c r="CQ25" s="97" t="str">
        <f t="shared" si="35"/>
        <v>N/A</v>
      </c>
      <c r="CR25" s="115"/>
      <c r="CS25" s="97" t="str">
        <f t="shared" si="36"/>
        <v>N/A</v>
      </c>
      <c r="CT25" s="117"/>
      <c r="CU25" s="97" t="str">
        <f t="shared" si="37"/>
        <v>N/A</v>
      </c>
      <c r="CV25" s="117"/>
      <c r="CW25" s="97" t="str">
        <f t="shared" si="38"/>
        <v>N/A</v>
      </c>
      <c r="CX25" s="117"/>
      <c r="CY25" s="97" t="str">
        <f t="shared" si="39"/>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604"/>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3"/>
        <v>N/A</v>
      </c>
      <c r="BT26" s="82"/>
      <c r="BU26" s="97" t="str">
        <f t="shared" si="24"/>
        <v>N/A</v>
      </c>
      <c r="BV26" s="82"/>
      <c r="BW26" s="97" t="str">
        <f t="shared" si="25"/>
        <v>N/A</v>
      </c>
      <c r="BX26" s="82"/>
      <c r="BY26" s="97" t="str">
        <f t="shared" si="26"/>
        <v>N/A</v>
      </c>
      <c r="BZ26" s="82"/>
      <c r="CA26" s="97" t="str">
        <f t="shared" si="27"/>
        <v>N/A</v>
      </c>
      <c r="CB26" s="117"/>
      <c r="CC26" s="97" t="str">
        <f t="shared" si="28"/>
        <v>N/A</v>
      </c>
      <c r="CD26" s="82"/>
      <c r="CE26" s="97" t="str">
        <f t="shared" si="29"/>
        <v>N/A</v>
      </c>
      <c r="CF26" s="82"/>
      <c r="CG26" s="97" t="str">
        <f t="shared" si="30"/>
        <v>N/A</v>
      </c>
      <c r="CH26" s="117"/>
      <c r="CI26" s="97" t="str">
        <f t="shared" si="31"/>
        <v>N/A</v>
      </c>
      <c r="CJ26" s="82"/>
      <c r="CK26" s="97" t="str">
        <f t="shared" si="32"/>
        <v>N/A</v>
      </c>
      <c r="CL26" s="82"/>
      <c r="CM26" s="97" t="str">
        <f t="shared" si="33"/>
        <v>N/A</v>
      </c>
      <c r="CN26" s="82"/>
      <c r="CO26" s="97" t="str">
        <f t="shared" si="34"/>
        <v>N/A</v>
      </c>
      <c r="CP26" s="82"/>
      <c r="CQ26" s="97" t="str">
        <f t="shared" si="35"/>
        <v>N/A</v>
      </c>
      <c r="CR26" s="82"/>
      <c r="CS26" s="97" t="str">
        <f t="shared" si="36"/>
        <v>N/A</v>
      </c>
      <c r="CT26" s="117"/>
      <c r="CU26" s="97" t="str">
        <f t="shared" si="37"/>
        <v>N/A</v>
      </c>
      <c r="CV26" s="82"/>
      <c r="CW26" s="97" t="str">
        <f t="shared" si="38"/>
        <v>N/A</v>
      </c>
      <c r="CX26" s="117"/>
      <c r="CY26" s="97" t="str">
        <f t="shared" si="39"/>
        <v>N/A</v>
      </c>
      <c r="CZ26" s="82"/>
      <c r="DA26" s="97" t="str">
        <f t="shared" si="21"/>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c r="Q27" s="587"/>
      <c r="R27" s="605"/>
      <c r="S27" s="587"/>
      <c r="T27" s="605"/>
      <c r="U27" s="587"/>
      <c r="V27" s="605"/>
      <c r="W27" s="587"/>
      <c r="X27" s="605"/>
      <c r="Y27" s="587"/>
      <c r="Z27" s="605"/>
      <c r="AA27" s="587"/>
      <c r="AB27" s="605"/>
      <c r="AC27" s="587"/>
      <c r="AD27" s="605"/>
      <c r="AE27" s="587"/>
      <c r="AF27" s="605"/>
      <c r="AG27" s="587"/>
      <c r="AH27" s="605"/>
      <c r="AI27" s="587"/>
      <c r="AJ27" s="605"/>
      <c r="AK27" s="587"/>
      <c r="AL27" s="605"/>
      <c r="AM27" s="587"/>
      <c r="AN27" s="605"/>
      <c r="AO27" s="587"/>
      <c r="AP27" s="605"/>
      <c r="AQ27" s="587"/>
      <c r="AR27" s="605"/>
      <c r="AS27" s="587"/>
      <c r="AT27" s="605"/>
      <c r="AU27" s="587"/>
      <c r="AV27" s="605"/>
      <c r="AW27" s="587"/>
      <c r="AX27" s="605"/>
      <c r="AY27" s="587"/>
      <c r="AZ27" s="605"/>
      <c r="BA27" s="587"/>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3"/>
        <v>N/A</v>
      </c>
      <c r="BT27" s="95"/>
      <c r="BU27" s="95" t="str">
        <f t="shared" si="24"/>
        <v>N/A</v>
      </c>
      <c r="BV27" s="95"/>
      <c r="BW27" s="95" t="str">
        <f t="shared" si="25"/>
        <v>N/A</v>
      </c>
      <c r="BX27" s="95"/>
      <c r="BY27" s="95" t="str">
        <f t="shared" si="26"/>
        <v>N/A</v>
      </c>
      <c r="BZ27" s="95"/>
      <c r="CA27" s="95" t="str">
        <f t="shared" si="27"/>
        <v>N/A</v>
      </c>
      <c r="CB27" s="95"/>
      <c r="CC27" s="95" t="str">
        <f t="shared" si="28"/>
        <v>N/A</v>
      </c>
      <c r="CD27" s="95"/>
      <c r="CE27" s="95" t="str">
        <f t="shared" si="29"/>
        <v>N/A</v>
      </c>
      <c r="CF27" s="95"/>
      <c r="CG27" s="95" t="str">
        <f t="shared" si="30"/>
        <v>N/A</v>
      </c>
      <c r="CH27" s="95"/>
      <c r="CI27" s="95" t="str">
        <f t="shared" si="31"/>
        <v>N/A</v>
      </c>
      <c r="CJ27" s="95"/>
      <c r="CK27" s="95" t="str">
        <f t="shared" si="32"/>
        <v>N/A</v>
      </c>
      <c r="CL27" s="95"/>
      <c r="CM27" s="95" t="str">
        <f t="shared" si="33"/>
        <v>N/A</v>
      </c>
      <c r="CN27" s="95"/>
      <c r="CO27" s="95" t="str">
        <f t="shared" si="34"/>
        <v>N/A</v>
      </c>
      <c r="CP27" s="95"/>
      <c r="CQ27" s="95" t="str">
        <f t="shared" si="35"/>
        <v>N/A</v>
      </c>
      <c r="CR27" s="95"/>
      <c r="CS27" s="95" t="str">
        <f t="shared" si="36"/>
        <v>N/A</v>
      </c>
      <c r="CT27" s="95"/>
      <c r="CU27" s="95" t="str">
        <f t="shared" si="37"/>
        <v>N/A</v>
      </c>
      <c r="CV27" s="95"/>
      <c r="CW27" s="95" t="str">
        <f t="shared" si="38"/>
        <v>N/A</v>
      </c>
      <c r="CX27" s="95"/>
      <c r="CY27" s="95" t="str">
        <f t="shared" si="39"/>
        <v>N/A</v>
      </c>
      <c r="CZ27" s="95"/>
      <c r="DA27" s="97" t="str">
        <f t="shared" si="21"/>
        <v>N/A</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74" t="s">
        <v>268</v>
      </c>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70" t="s">
        <v>149</v>
      </c>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0"/>
      <c r="BA31" s="770"/>
      <c r="BB31" s="770"/>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74" t="s">
        <v>114</v>
      </c>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790"/>
      <c r="AQ33" s="790"/>
      <c r="AR33" s="790"/>
      <c r="AS33" s="790"/>
      <c r="AT33" s="790"/>
      <c r="AU33" s="790"/>
      <c r="AV33" s="790"/>
      <c r="AW33" s="790"/>
      <c r="AX33" s="790"/>
      <c r="AY33" s="790"/>
      <c r="AZ33" s="790"/>
      <c r="BA33" s="790"/>
      <c r="BB33" s="790"/>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55" t="str">
        <f>D17&amp;" (W4,10)"</f>
        <v>Wastewater treated in urban wastewater treatment plants (W4,10)</v>
      </c>
      <c r="V34" s="856"/>
      <c r="W34" s="856"/>
      <c r="X34" s="856"/>
      <c r="Y34" s="856"/>
      <c r="Z34" s="856"/>
      <c r="AA34" s="856"/>
      <c r="AB34" s="857"/>
      <c r="AC34" s="281"/>
      <c r="AD34" s="281"/>
      <c r="AE34" s="281"/>
      <c r="AF34" s="281"/>
      <c r="AG34" s="281"/>
      <c r="AH34" s="281"/>
      <c r="AI34" s="289"/>
      <c r="AJ34" s="504"/>
      <c r="AK34" s="504"/>
      <c r="AL34" s="504"/>
      <c r="AM34" s="775"/>
      <c r="AN34" s="775"/>
      <c r="AO34" s="775"/>
      <c r="AP34" s="775"/>
      <c r="AQ34" s="775"/>
      <c r="AR34" s="775"/>
      <c r="AS34" s="775"/>
      <c r="AT34" s="775"/>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0</v>
      </c>
      <c r="BJ34" s="82"/>
      <c r="BK34" s="82">
        <f t="shared" si="42"/>
        <v>0</v>
      </c>
      <c r="BL34" s="82"/>
      <c r="BM34" s="82">
        <f t="shared" si="42"/>
        <v>0</v>
      </c>
      <c r="BN34" s="82"/>
      <c r="BO34" s="82">
        <f t="shared" si="42"/>
        <v>0</v>
      </c>
      <c r="BP34" s="82"/>
      <c r="BQ34" s="82">
        <f t="shared" si="42"/>
        <v>0</v>
      </c>
      <c r="BR34" s="82"/>
      <c r="BS34" s="82">
        <f t="shared" si="42"/>
        <v>0</v>
      </c>
      <c r="BT34" s="82"/>
      <c r="BU34" s="82">
        <f t="shared" si="42"/>
        <v>0</v>
      </c>
      <c r="BV34" s="82"/>
      <c r="BW34" s="82">
        <f t="shared" si="42"/>
        <v>0</v>
      </c>
      <c r="BX34" s="82"/>
      <c r="BY34" s="82">
        <f t="shared" si="42"/>
        <v>0</v>
      </c>
      <c r="BZ34" s="82"/>
      <c r="CA34" s="82">
        <f t="shared" si="42"/>
        <v>0</v>
      </c>
      <c r="CB34" s="82"/>
      <c r="CC34" s="82">
        <f t="shared" si="42"/>
        <v>0</v>
      </c>
      <c r="CD34" s="82"/>
      <c r="CE34" s="82">
        <f t="shared" si="42"/>
        <v>0</v>
      </c>
      <c r="CF34" s="82"/>
      <c r="CG34" s="82">
        <f t="shared" si="42"/>
        <v>0</v>
      </c>
      <c r="CH34" s="82"/>
      <c r="CI34" s="82">
        <f t="shared" si="42"/>
        <v>0</v>
      </c>
      <c r="CJ34" s="82"/>
      <c r="CK34" s="82">
        <f t="shared" si="42"/>
        <v>0</v>
      </c>
      <c r="CL34" s="82"/>
      <c r="CM34" s="82">
        <f t="shared" si="42"/>
        <v>0</v>
      </c>
      <c r="CN34" s="82"/>
      <c r="CO34" s="82">
        <f t="shared" si="42"/>
        <v>0</v>
      </c>
      <c r="CP34" s="82"/>
      <c r="CQ34" s="82">
        <f t="shared" si="42"/>
        <v>0</v>
      </c>
      <c r="CR34" s="82"/>
      <c r="CS34" s="82">
        <f t="shared" si="42"/>
        <v>0</v>
      </c>
      <c r="CT34" s="82"/>
      <c r="CU34" s="82">
        <f t="shared" si="42"/>
        <v>0</v>
      </c>
      <c r="CV34" s="82"/>
      <c r="CW34" s="82">
        <f t="shared" si="42"/>
        <v>0</v>
      </c>
      <c r="CX34" s="82"/>
      <c r="CY34" s="82">
        <f t="shared" si="42"/>
        <v>0</v>
      </c>
      <c r="CZ34" s="82"/>
      <c r="DA34" s="82">
        <f t="shared" si="42"/>
        <v>0</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 t="shared" si="43"/>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51" t="str">
        <f>D8&amp;" (W4,1)"</f>
        <v>Total wastewater generated (W4,1)</v>
      </c>
      <c r="K38" s="838"/>
      <c r="L38" s="838"/>
      <c r="M38" s="838"/>
      <c r="N38" s="839"/>
      <c r="O38" s="281"/>
      <c r="P38" s="281"/>
      <c r="Q38" s="281"/>
      <c r="R38" s="281"/>
      <c r="S38" s="281"/>
      <c r="T38" s="281"/>
      <c r="U38" s="855" t="str">
        <f>D21&amp;" (W4,14)"</f>
        <v>Wastewater treated in other treatment plants (W4,14)</v>
      </c>
      <c r="V38" s="856"/>
      <c r="W38" s="856"/>
      <c r="X38" s="856"/>
      <c r="Y38" s="856"/>
      <c r="Z38" s="856"/>
      <c r="AA38" s="856"/>
      <c r="AB38" s="857"/>
      <c r="AC38" s="630"/>
      <c r="AD38" s="630"/>
      <c r="AE38" s="630"/>
      <c r="AF38" s="630"/>
      <c r="AG38" s="630"/>
      <c r="AH38" s="281"/>
      <c r="AI38" s="507"/>
      <c r="AJ38" s="507"/>
      <c r="AK38" s="507"/>
      <c r="AL38" s="507"/>
      <c r="AM38" s="775"/>
      <c r="AN38" s="775"/>
      <c r="AO38" s="775"/>
      <c r="AP38" s="775"/>
      <c r="AQ38" s="775"/>
      <c r="AR38" s="775"/>
      <c r="AS38" s="775"/>
      <c r="AT38" s="775"/>
      <c r="AU38" s="281"/>
      <c r="AV38" s="281"/>
      <c r="AW38" s="281"/>
      <c r="AX38" s="281"/>
      <c r="AY38" s="281"/>
      <c r="AZ38" s="281"/>
      <c r="BA38" s="281"/>
      <c r="BB38" s="281"/>
      <c r="BC38" s="393"/>
      <c r="BD38" s="82">
        <v>14</v>
      </c>
      <c r="BE38" s="248" t="s">
        <v>126</v>
      </c>
      <c r="BF38" s="82" t="s">
        <v>314</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c r="DB38" s="285"/>
      <c r="DC38" s="285"/>
      <c r="DD38" s="285"/>
      <c r="DE38" s="285"/>
      <c r="DF38" s="285"/>
      <c r="DG38" s="285"/>
      <c r="DH38" s="285"/>
      <c r="DI38" s="285"/>
    </row>
    <row r="39" spans="1:113" ht="9" customHeight="1">
      <c r="A39" s="280"/>
      <c r="B39" s="280"/>
      <c r="C39" s="278"/>
      <c r="D39" s="505"/>
      <c r="E39" s="281"/>
      <c r="F39" s="281"/>
      <c r="G39" s="281"/>
      <c r="H39" s="281"/>
      <c r="I39" s="281"/>
      <c r="J39" s="852"/>
      <c r="K39" s="853"/>
      <c r="L39" s="853"/>
      <c r="M39" s="853"/>
      <c r="N39" s="854"/>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52"/>
      <c r="K40" s="853"/>
      <c r="L40" s="853"/>
      <c r="M40" s="853"/>
      <c r="N40" s="854"/>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75"/>
      <c r="AN40" s="775"/>
      <c r="AO40" s="775"/>
      <c r="AP40" s="775"/>
      <c r="AQ40" s="775"/>
      <c r="AR40" s="775"/>
      <c r="AS40" s="775"/>
      <c r="AT40" s="775"/>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c r="DB40" s="285"/>
      <c r="DC40" s="285"/>
      <c r="DD40" s="285"/>
      <c r="DE40" s="285"/>
      <c r="DF40" s="285"/>
      <c r="DG40" s="285"/>
      <c r="DH40" s="285"/>
      <c r="DI40" s="285"/>
    </row>
    <row r="41" spans="1:113" ht="11.25" customHeight="1">
      <c r="A41" s="280"/>
      <c r="B41" s="280"/>
      <c r="C41" s="278"/>
      <c r="D41" s="289"/>
      <c r="E41" s="281"/>
      <c r="F41" s="281"/>
      <c r="G41" s="281"/>
      <c r="H41" s="281"/>
      <c r="I41" s="281"/>
      <c r="J41" s="808"/>
      <c r="K41" s="809"/>
      <c r="L41" s="809"/>
      <c r="M41" s="809"/>
      <c r="N41" s="810"/>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55" t="str">
        <f>D25&amp;" (W4,18)"</f>
        <v>Wastewater treated in independent treatment facilities (W4,18)</v>
      </c>
      <c r="V42" s="856"/>
      <c r="W42" s="856"/>
      <c r="X42" s="856"/>
      <c r="Y42" s="856"/>
      <c r="Z42" s="856"/>
      <c r="AA42" s="856"/>
      <c r="AB42" s="857"/>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75"/>
      <c r="AN44" s="775"/>
      <c r="AO44" s="775"/>
      <c r="AP44" s="775"/>
      <c r="AQ44" s="775"/>
      <c r="AR44" s="775"/>
      <c r="AS44" s="775"/>
      <c r="AT44" s="775"/>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55" t="str">
        <f>D26&amp;" (W4,19)"</f>
        <v>Non-treated wastewater (W4,19)</v>
      </c>
      <c r="V46" s="856"/>
      <c r="W46" s="856"/>
      <c r="X46" s="856"/>
      <c r="Y46" s="856"/>
      <c r="Z46" s="856"/>
      <c r="AA46" s="856"/>
      <c r="AB46" s="857"/>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c r="B51" s="181"/>
      <c r="C51" s="542"/>
      <c r="D51" s="771"/>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2"/>
      <c r="AY51" s="772"/>
      <c r="AZ51" s="772"/>
      <c r="BA51" s="772"/>
      <c r="BB51" s="773"/>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84"/>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85"/>
      <c r="BB52" s="786"/>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84"/>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6"/>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84"/>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6"/>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84"/>
      <c r="E55" s="785"/>
      <c r="F55" s="785"/>
      <c r="G55" s="785"/>
      <c r="H55" s="785"/>
      <c r="I55" s="785"/>
      <c r="J55" s="785"/>
      <c r="K55" s="785"/>
      <c r="L55" s="785"/>
      <c r="M55" s="785"/>
      <c r="N55" s="785"/>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6"/>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84"/>
      <c r="E56" s="785"/>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6"/>
    </row>
    <row r="57" spans="3:54" ht="18" customHeight="1">
      <c r="C57" s="542"/>
      <c r="D57" s="784"/>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6"/>
    </row>
    <row r="58" spans="3:54" ht="18" customHeight="1">
      <c r="C58" s="542"/>
      <c r="D58" s="784"/>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5"/>
      <c r="BA58" s="785"/>
      <c r="BB58" s="786"/>
    </row>
    <row r="59" spans="3:54" ht="18" customHeight="1">
      <c r="C59" s="542"/>
      <c r="D59" s="771"/>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2"/>
      <c r="AS59" s="772"/>
      <c r="AT59" s="772"/>
      <c r="AU59" s="772"/>
      <c r="AV59" s="772"/>
      <c r="AW59" s="772"/>
      <c r="AX59" s="772"/>
      <c r="AY59" s="772"/>
      <c r="AZ59" s="772"/>
      <c r="BA59" s="772"/>
      <c r="BB59" s="773"/>
    </row>
    <row r="60" spans="3:54" ht="18" customHeight="1">
      <c r="C60" s="542"/>
      <c r="D60" s="784"/>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85"/>
      <c r="BB60" s="786"/>
    </row>
    <row r="61" spans="3:54" ht="18" customHeight="1">
      <c r="C61" s="542"/>
      <c r="D61" s="784"/>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85"/>
      <c r="BB61" s="786"/>
    </row>
    <row r="62" spans="3:54" ht="18" customHeight="1">
      <c r="C62" s="542"/>
      <c r="D62" s="784"/>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5"/>
      <c r="AZ62" s="785"/>
      <c r="BA62" s="785"/>
      <c r="BB62" s="786"/>
    </row>
    <row r="63" spans="3:54" ht="18" customHeight="1">
      <c r="C63" s="542"/>
      <c r="D63" s="784"/>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5"/>
      <c r="BA63" s="785"/>
      <c r="BB63" s="786"/>
    </row>
    <row r="64" spans="3:54" ht="18" customHeight="1">
      <c r="C64" s="542"/>
      <c r="D64" s="784"/>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85"/>
      <c r="BB64" s="786"/>
    </row>
    <row r="65" spans="3:54" ht="18" customHeight="1">
      <c r="C65" s="542"/>
      <c r="D65" s="784"/>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5"/>
      <c r="AY65" s="785"/>
      <c r="AZ65" s="785"/>
      <c r="BA65" s="785"/>
      <c r="BB65" s="786"/>
    </row>
    <row r="66" spans="3:54" ht="18" customHeight="1">
      <c r="C66" s="542"/>
      <c r="D66" s="784"/>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85"/>
      <c r="BB66" s="786"/>
    </row>
    <row r="67" spans="3:54" ht="18" customHeight="1">
      <c r="C67" s="542"/>
      <c r="D67" s="771"/>
      <c r="E67" s="772"/>
      <c r="F67" s="772"/>
      <c r="G67" s="772"/>
      <c r="H67" s="772"/>
      <c r="I67" s="772"/>
      <c r="J67" s="772"/>
      <c r="K67" s="772"/>
      <c r="L67" s="772"/>
      <c r="M67" s="772"/>
      <c r="N67" s="772"/>
      <c r="O67" s="772"/>
      <c r="P67" s="772"/>
      <c r="Q67" s="772"/>
      <c r="R67" s="772"/>
      <c r="S67" s="772"/>
      <c r="T67" s="772"/>
      <c r="U67" s="772"/>
      <c r="V67" s="772"/>
      <c r="W67" s="772"/>
      <c r="X67" s="772"/>
      <c r="Y67" s="772"/>
      <c r="Z67" s="772"/>
      <c r="AA67" s="772"/>
      <c r="AB67" s="772"/>
      <c r="AC67" s="772"/>
      <c r="AD67" s="772"/>
      <c r="AE67" s="772"/>
      <c r="AF67" s="772"/>
      <c r="AG67" s="772"/>
      <c r="AH67" s="772"/>
      <c r="AI67" s="772"/>
      <c r="AJ67" s="772"/>
      <c r="AK67" s="772"/>
      <c r="AL67" s="772"/>
      <c r="AM67" s="772"/>
      <c r="AN67" s="772"/>
      <c r="AO67" s="772"/>
      <c r="AP67" s="772"/>
      <c r="AQ67" s="772"/>
      <c r="AR67" s="772"/>
      <c r="AS67" s="772"/>
      <c r="AT67" s="772"/>
      <c r="AU67" s="772"/>
      <c r="AV67" s="772"/>
      <c r="AW67" s="772"/>
      <c r="AX67" s="772"/>
      <c r="AY67" s="772"/>
      <c r="AZ67" s="772"/>
      <c r="BA67" s="772"/>
      <c r="BB67" s="773"/>
    </row>
    <row r="68" spans="3:54" ht="18" customHeight="1">
      <c r="C68" s="542"/>
      <c r="D68" s="784"/>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5"/>
      <c r="BB68" s="786"/>
    </row>
    <row r="69" spans="3:54" ht="18" customHeight="1">
      <c r="C69" s="542"/>
      <c r="D69" s="784"/>
      <c r="E69" s="785"/>
      <c r="F69" s="785"/>
      <c r="G69" s="785"/>
      <c r="H69" s="785"/>
      <c r="I69" s="785"/>
      <c r="J69" s="785"/>
      <c r="K69" s="785"/>
      <c r="L69" s="785"/>
      <c r="M69" s="785"/>
      <c r="N69" s="785"/>
      <c r="O69" s="785"/>
      <c r="P69" s="785"/>
      <c r="Q69" s="785"/>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5"/>
      <c r="BA69" s="785"/>
      <c r="BB69" s="786"/>
    </row>
    <row r="70" spans="3:54" ht="18" customHeight="1">
      <c r="C70" s="542"/>
      <c r="D70" s="784"/>
      <c r="E70" s="785"/>
      <c r="F70" s="785"/>
      <c r="G70" s="785"/>
      <c r="H70" s="785"/>
      <c r="I70" s="785"/>
      <c r="J70" s="785"/>
      <c r="K70" s="785"/>
      <c r="L70" s="785"/>
      <c r="M70" s="785"/>
      <c r="N70" s="785"/>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5"/>
      <c r="AY70" s="785"/>
      <c r="AZ70" s="785"/>
      <c r="BA70" s="785"/>
      <c r="BB70" s="786"/>
    </row>
    <row r="71" spans="3:54" ht="18" customHeight="1">
      <c r="C71" s="542"/>
      <c r="D71" s="784"/>
      <c r="E71" s="785"/>
      <c r="F71" s="785"/>
      <c r="G71" s="785"/>
      <c r="H71" s="785"/>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5"/>
      <c r="BA71" s="785"/>
      <c r="BB71" s="786"/>
    </row>
    <row r="72" spans="3:54" ht="18" customHeight="1">
      <c r="C72" s="542"/>
      <c r="D72" s="784"/>
      <c r="E72" s="785"/>
      <c r="F72" s="785"/>
      <c r="G72" s="785"/>
      <c r="H72" s="785"/>
      <c r="I72" s="785"/>
      <c r="J72" s="785"/>
      <c r="K72" s="785"/>
      <c r="L72" s="785"/>
      <c r="M72" s="785"/>
      <c r="N72" s="785"/>
      <c r="O72" s="785"/>
      <c r="P72" s="785"/>
      <c r="Q72" s="785"/>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5"/>
      <c r="BA72" s="785"/>
      <c r="BB72" s="786"/>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sheet="1" objects="1" scenarios="1" formatCells="0" formatColumns="0" formatRows="0" insertColumns="0"/>
  <mergeCells count="36">
    <mergeCell ref="U46:AB46"/>
    <mergeCell ref="D69:BB69"/>
    <mergeCell ref="D31:BB31"/>
    <mergeCell ref="D57:BB57"/>
    <mergeCell ref="D72:BB72"/>
    <mergeCell ref="D65:BB65"/>
    <mergeCell ref="D66:BB66"/>
    <mergeCell ref="D67:BB67"/>
    <mergeCell ref="D68:BB68"/>
    <mergeCell ref="D70:BB70"/>
    <mergeCell ref="D71:BB71"/>
    <mergeCell ref="D55:BB55"/>
    <mergeCell ref="D61:BB61"/>
    <mergeCell ref="C5:AN5"/>
    <mergeCell ref="D30:BB30"/>
    <mergeCell ref="D53:BB53"/>
    <mergeCell ref="D54:BB54"/>
    <mergeCell ref="D32:BB32"/>
    <mergeCell ref="D56:BB56"/>
    <mergeCell ref="AM40:AT40"/>
    <mergeCell ref="D62:BB62"/>
    <mergeCell ref="D63:BB63"/>
    <mergeCell ref="D64:BB64"/>
    <mergeCell ref="D58:BB58"/>
    <mergeCell ref="D60:BB60"/>
    <mergeCell ref="D59:BB59"/>
    <mergeCell ref="D33:BB33"/>
    <mergeCell ref="AM34:AT34"/>
    <mergeCell ref="D52:BB52"/>
    <mergeCell ref="D51:BB51"/>
    <mergeCell ref="J38:N41"/>
    <mergeCell ref="U34:AB34"/>
    <mergeCell ref="U38:AB38"/>
    <mergeCell ref="U42:AB42"/>
    <mergeCell ref="AM38:AT38"/>
    <mergeCell ref="AM44:AT44"/>
  </mergeCells>
  <conditionalFormatting sqref="F8 H8 J8 L8 N8 P8 R8 T8 V8 X8 Z8 AB8 AD8 AF8 AH8 AJ8 AL8 AN8 AP8 AR8 AT8 AV8 AX8 AZ8">
    <cfRule type="cellIs" priority="8" dxfId="227" operator="lessThan" stopIfTrue="1">
      <formula>0.99*(F9+F10+F11+F12+F14+F15+F16)</formula>
    </cfRule>
  </conditionalFormatting>
  <conditionalFormatting sqref="F17 H17 J17 L17 N17 P17 R17 T17 V17 X17 Z17 AB17 AD17 AF17 AH17 AJ17 AL17 AN17 AP17 AR17 AT17 AV17 AX17 AZ17">
    <cfRule type="cellIs" priority="7" dxfId="227" operator="lessThan" stopIfTrue="1">
      <formula>0.99*(F18+F19+F20)</formula>
    </cfRule>
  </conditionalFormatting>
  <conditionalFormatting sqref="F21 H21 J21 L21 N21 P21 R21 T21 V21 X21 Z21 AB21 AD21 AF21 AH21 AJ21 AL21 AN21 AP21 AR21 AT21 AV21 AX21 AZ21">
    <cfRule type="cellIs" priority="6" dxfId="227" operator="lessThan" stopIfTrue="1">
      <formula>0.99*(F22+F23+F24)</formula>
    </cfRule>
  </conditionalFormatting>
  <conditionalFormatting sqref="BG42:DA42 BG36:DA36 BG47:DA47">
    <cfRule type="cellIs" priority="5" dxfId="226" operator="equal" stopIfTrue="1">
      <formula>"&lt;&gt;"</formula>
    </cfRule>
  </conditionalFormatting>
  <conditionalFormatting sqref="BI8:BI27">
    <cfRule type="cellIs" priority="3" dxfId="226"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26" operator="equal" stopIfTrue="1">
      <formula>"&gt; 25%"</formula>
    </cfRule>
  </conditionalFormatting>
  <conditionalFormatting sqref="BG33:DA33">
    <cfRule type="cellIs" priority="2" dxfId="226" operator="equal" stopIfTrue="1">
      <formula>"&lt;&gt;"</formula>
    </cfRule>
  </conditionalFormatting>
  <conditionalFormatting sqref="CW8:CW27 CY8:CY27">
    <cfRule type="cellIs" priority="1" dxfId="226"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5" zoomScaleNormal="85" zoomScaleSheetLayoutView="40" zoomScalePageLayoutView="55" workbookViewId="0" topLeftCell="C1">
      <selection activeCell="F8" sqref="F8"/>
    </sheetView>
  </sheetViews>
  <sheetFormatPr defaultColWidth="9.33203125" defaultRowHeight="12.75"/>
  <cols>
    <col min="1" max="1" width="8" style="180" hidden="1" customWidth="1"/>
    <col min="2" max="2" width="8.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v>388</v>
      </c>
      <c r="C3" s="337" t="s">
        <v>311</v>
      </c>
      <c r="D3" s="30" t="s">
        <v>410</v>
      </c>
      <c r="E3" s="422"/>
      <c r="F3" s="423"/>
      <c r="G3" s="424"/>
      <c r="H3" s="425"/>
      <c r="I3" s="426"/>
      <c r="J3" s="425"/>
      <c r="K3" s="426"/>
      <c r="L3" s="425"/>
      <c r="M3" s="426"/>
      <c r="N3" s="425"/>
      <c r="O3" s="426"/>
      <c r="P3" s="425"/>
      <c r="Q3" s="426"/>
      <c r="R3" s="425"/>
      <c r="S3" s="426"/>
      <c r="T3" s="425"/>
      <c r="U3" s="426"/>
      <c r="V3" s="425"/>
      <c r="W3" s="424"/>
      <c r="X3" s="425"/>
      <c r="Y3" s="424"/>
      <c r="Z3" s="108"/>
      <c r="AA3" s="427"/>
      <c r="AB3" s="55"/>
      <c r="AC3" s="203" t="s">
        <v>644</v>
      </c>
      <c r="AD3" s="339"/>
      <c r="AE3" s="338"/>
      <c r="AF3" s="339"/>
      <c r="AG3" s="340"/>
      <c r="AH3" s="31"/>
      <c r="AI3" s="31"/>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81" t="s">
        <v>129</v>
      </c>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c r="I8" s="588"/>
      <c r="J8" s="576"/>
      <c r="K8" s="588"/>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c r="AO8" s="588"/>
      <c r="AP8" s="576"/>
      <c r="AQ8" s="588"/>
      <c r="AR8" s="576"/>
      <c r="AS8" s="588"/>
      <c r="AT8" s="576"/>
      <c r="AU8" s="588"/>
      <c r="AV8" s="576"/>
      <c r="AW8" s="588"/>
      <c r="AX8" s="576"/>
      <c r="AY8" s="588"/>
      <c r="AZ8" s="576">
        <v>700000</v>
      </c>
      <c r="BA8" s="588"/>
      <c r="BC8" s="394">
        <v>1</v>
      </c>
      <c r="BD8" s="536" t="s">
        <v>9</v>
      </c>
      <c r="BE8" s="97" t="s">
        <v>276</v>
      </c>
      <c r="BF8" s="97" t="s">
        <v>85</v>
      </c>
      <c r="BG8" s="606"/>
      <c r="BH8" s="80" t="str">
        <f>IF(OR(ISBLANK(F8),ISBLANK(H8)),"N/A",IF(ABS(H8-F8)&gt;100,"&gt; 100%","ok"))</f>
        <v>N/A</v>
      </c>
      <c r="BI8" s="606"/>
      <c r="BJ8" s="80" t="str">
        <f>IF(OR(ISBLANK(H8),ISBLANK(J8)),"N/A",IF(ABS(J8-H8)&gt;25,"&gt; 25%","ok"))</f>
        <v>N/A</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N/A</v>
      </c>
      <c r="CQ8" s="80"/>
      <c r="CR8" s="80" t="str">
        <f>IF(OR(ISBLANK(AP8),ISBLANK(AR8)),"N/A",IF(ABS(AR8-AP8)&gt;25,"&gt; 25%","ok"))</f>
        <v>N/A</v>
      </c>
      <c r="CS8" s="80"/>
      <c r="CT8" s="80" t="str">
        <f>IF(OR(ISBLANK(AR8),ISBLANK(AT8)),"N/A",IF(ABS(AT8-AR8)&gt;25,"&gt; 25%","ok"))</f>
        <v>N/A</v>
      </c>
      <c r="CU8" s="80"/>
      <c r="CV8" s="80" t="str">
        <f>IF(OR(ISBLANK(AT8),ISBLANK(AV8)),"N/A",IF(ABS(AV8-AT8)&gt;25,"&gt; 25%","ok"))</f>
        <v>N/A</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70" t="s">
        <v>149</v>
      </c>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c r="AU15" s="770"/>
      <c r="AV15" s="770"/>
      <c r="AW15" s="770"/>
      <c r="AX15" s="770"/>
      <c r="AY15" s="770"/>
      <c r="AZ15" s="770"/>
      <c r="BA15" s="770"/>
      <c r="BB15" s="770"/>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74" t="s">
        <v>114</v>
      </c>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4"/>
      <c r="AP16" s="774"/>
      <c r="AQ16" s="774"/>
      <c r="AR16" s="774"/>
      <c r="AS16" s="774"/>
      <c r="AT16" s="774"/>
      <c r="AU16" s="774"/>
      <c r="AV16" s="774"/>
      <c r="AW16" s="774"/>
      <c r="AX16" s="774"/>
      <c r="AY16" s="774"/>
      <c r="AZ16" s="774"/>
      <c r="BA16" s="774"/>
      <c r="BB16" s="774"/>
      <c r="BC16" s="394">
        <v>1</v>
      </c>
      <c r="BD16" s="536" t="s">
        <v>9</v>
      </c>
      <c r="BE16" s="97" t="s">
        <v>276</v>
      </c>
      <c r="BF16" s="97">
        <f>F8</f>
        <v>0</v>
      </c>
      <c r="BG16" s="97"/>
      <c r="BH16" s="97">
        <f>H8</f>
        <v>0</v>
      </c>
      <c r="BI16" s="97"/>
      <c r="BJ16" s="97">
        <f>J8</f>
        <v>0</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0</v>
      </c>
      <c r="CO16" s="97"/>
      <c r="CP16" s="97">
        <f>AP8</f>
        <v>0</v>
      </c>
      <c r="CQ16" s="606"/>
      <c r="CR16" s="97">
        <f>AR8</f>
        <v>0</v>
      </c>
      <c r="CS16" s="97"/>
      <c r="CT16" s="97">
        <f>AT8</f>
        <v>0</v>
      </c>
      <c r="CU16" s="97"/>
      <c r="CV16" s="97">
        <f>AV8</f>
        <v>0</v>
      </c>
      <c r="CW16" s="97"/>
      <c r="CX16" s="97">
        <f>AX8</f>
        <v>0</v>
      </c>
      <c r="CY16" s="97"/>
      <c r="CZ16" s="97">
        <f>AZ8</f>
        <v>700000</v>
      </c>
      <c r="DA16" s="285"/>
      <c r="DB16" s="285"/>
      <c r="DC16" s="285"/>
      <c r="DD16" s="285"/>
      <c r="DE16" s="285"/>
      <c r="DF16" s="285"/>
      <c r="DG16" s="285"/>
      <c r="DH16" s="285"/>
      <c r="DI16" s="285"/>
      <c r="DJ16" s="285"/>
      <c r="DK16" s="285"/>
      <c r="DL16" s="285"/>
      <c r="DM16" s="285"/>
      <c r="DN16" s="285"/>
    </row>
    <row r="17" spans="1:118" ht="18" customHeight="1">
      <c r="A17" s="280"/>
      <c r="B17" s="280"/>
      <c r="C17" s="278"/>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3:104" ht="18" customHeight="1">
      <c r="C22" s="542"/>
      <c r="D22" s="771"/>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772"/>
      <c r="BA22" s="772"/>
      <c r="BB22" s="773"/>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84"/>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5"/>
      <c r="AX23" s="785"/>
      <c r="AY23" s="785"/>
      <c r="AZ23" s="785"/>
      <c r="BA23" s="785"/>
      <c r="BB23" s="786"/>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84"/>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5"/>
      <c r="AY24" s="785"/>
      <c r="AZ24" s="785"/>
      <c r="BA24" s="785"/>
      <c r="BB24" s="786"/>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84"/>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6"/>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84"/>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6"/>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84"/>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6"/>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84"/>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6"/>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84"/>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6"/>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84"/>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6"/>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84"/>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5"/>
      <c r="AQ31" s="785"/>
      <c r="AR31" s="785"/>
      <c r="AS31" s="785"/>
      <c r="AT31" s="785"/>
      <c r="AU31" s="785"/>
      <c r="AV31" s="785"/>
      <c r="AW31" s="785"/>
      <c r="AX31" s="785"/>
      <c r="AY31" s="785"/>
      <c r="AZ31" s="785"/>
      <c r="BA31" s="785"/>
      <c r="BB31" s="786"/>
      <c r="BD31" s="318"/>
    </row>
    <row r="32" spans="3:54" ht="18" customHeight="1">
      <c r="C32" s="542"/>
      <c r="D32" s="784"/>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6"/>
    </row>
    <row r="33" spans="3:54" ht="18" customHeight="1">
      <c r="C33" s="542"/>
      <c r="D33" s="784"/>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5"/>
      <c r="AO33" s="785"/>
      <c r="AP33" s="785"/>
      <c r="AQ33" s="785"/>
      <c r="AR33" s="785"/>
      <c r="AS33" s="785"/>
      <c r="AT33" s="785"/>
      <c r="AU33" s="785"/>
      <c r="AV33" s="785"/>
      <c r="AW33" s="785"/>
      <c r="AX33" s="785"/>
      <c r="AY33" s="785"/>
      <c r="AZ33" s="785"/>
      <c r="BA33" s="785"/>
      <c r="BB33" s="786"/>
    </row>
    <row r="34" spans="3:54" ht="18" customHeight="1">
      <c r="C34" s="542"/>
      <c r="D34" s="784"/>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6"/>
    </row>
    <row r="35" spans="3:54" ht="18" customHeight="1">
      <c r="C35" s="542"/>
      <c r="D35" s="784"/>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c r="AP35" s="785"/>
      <c r="AQ35" s="785"/>
      <c r="AR35" s="785"/>
      <c r="AS35" s="785"/>
      <c r="AT35" s="785"/>
      <c r="AU35" s="785"/>
      <c r="AV35" s="785"/>
      <c r="AW35" s="785"/>
      <c r="AX35" s="785"/>
      <c r="AY35" s="785"/>
      <c r="AZ35" s="785"/>
      <c r="BA35" s="785"/>
      <c r="BB35" s="786"/>
    </row>
    <row r="36" spans="3:54" ht="18" customHeight="1">
      <c r="C36" s="542"/>
      <c r="D36" s="784"/>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W36" s="785"/>
      <c r="AX36" s="785"/>
      <c r="AY36" s="785"/>
      <c r="AZ36" s="785"/>
      <c r="BA36" s="785"/>
      <c r="BB36" s="786"/>
    </row>
    <row r="37" spans="3:54" ht="18" customHeight="1">
      <c r="C37" s="542"/>
      <c r="D37" s="784"/>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6"/>
    </row>
    <row r="38" spans="3:54" ht="18" customHeight="1">
      <c r="C38" s="542"/>
      <c r="D38" s="784"/>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6"/>
    </row>
    <row r="39" spans="3:54" ht="18" customHeight="1">
      <c r="C39" s="542"/>
      <c r="D39" s="784"/>
      <c r="E39" s="785"/>
      <c r="F39" s="785"/>
      <c r="G39" s="785"/>
      <c r="H39" s="785"/>
      <c r="I39" s="785"/>
      <c r="J39" s="785"/>
      <c r="K39" s="785"/>
      <c r="L39" s="785"/>
      <c r="M39" s="785"/>
      <c r="N39" s="785"/>
      <c r="O39" s="785"/>
      <c r="P39" s="785"/>
      <c r="Q39" s="785"/>
      <c r="R39" s="785"/>
      <c r="S39" s="785"/>
      <c r="T39" s="785"/>
      <c r="U39" s="785"/>
      <c r="V39" s="785"/>
      <c r="W39" s="785"/>
      <c r="X39" s="785"/>
      <c r="Y39" s="785"/>
      <c r="Z39" s="785"/>
      <c r="AA39" s="785"/>
      <c r="AB39" s="785"/>
      <c r="AC39" s="785"/>
      <c r="AD39" s="785"/>
      <c r="AE39" s="785"/>
      <c r="AF39" s="785"/>
      <c r="AG39" s="785"/>
      <c r="AH39" s="785"/>
      <c r="AI39" s="785"/>
      <c r="AJ39" s="785"/>
      <c r="AK39" s="785"/>
      <c r="AL39" s="785"/>
      <c r="AM39" s="785"/>
      <c r="AN39" s="785"/>
      <c r="AO39" s="785"/>
      <c r="AP39" s="785"/>
      <c r="AQ39" s="785"/>
      <c r="AR39" s="785"/>
      <c r="AS39" s="785"/>
      <c r="AT39" s="785"/>
      <c r="AU39" s="785"/>
      <c r="AV39" s="785"/>
      <c r="AW39" s="785"/>
      <c r="AX39" s="785"/>
      <c r="AY39" s="785"/>
      <c r="AZ39" s="785"/>
      <c r="BA39" s="785"/>
      <c r="BB39" s="786"/>
    </row>
    <row r="40" spans="3:54" ht="18" customHeight="1">
      <c r="C40" s="542"/>
      <c r="D40" s="784"/>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785"/>
      <c r="AV40" s="785"/>
      <c r="AW40" s="785"/>
      <c r="AX40" s="785"/>
      <c r="AY40" s="785"/>
      <c r="AZ40" s="785"/>
      <c r="BA40" s="785"/>
      <c r="BB40" s="786"/>
    </row>
    <row r="41" spans="3:54" ht="18" customHeight="1">
      <c r="C41" s="542"/>
      <c r="D41" s="784"/>
      <c r="E41" s="785"/>
      <c r="F41" s="785"/>
      <c r="G41" s="785"/>
      <c r="H41" s="785"/>
      <c r="I41" s="785"/>
      <c r="J41" s="785"/>
      <c r="K41" s="785"/>
      <c r="L41" s="785"/>
      <c r="M41" s="785"/>
      <c r="N41" s="785"/>
      <c r="O41" s="785"/>
      <c r="P41" s="785"/>
      <c r="Q41" s="785"/>
      <c r="R41" s="785"/>
      <c r="S41" s="785"/>
      <c r="T41" s="785"/>
      <c r="U41" s="785"/>
      <c r="V41" s="785"/>
      <c r="W41" s="785"/>
      <c r="X41" s="785"/>
      <c r="Y41" s="785"/>
      <c r="Z41" s="785"/>
      <c r="AA41" s="785"/>
      <c r="AB41" s="785"/>
      <c r="AC41" s="785"/>
      <c r="AD41" s="785"/>
      <c r="AE41" s="785"/>
      <c r="AF41" s="785"/>
      <c r="AG41" s="785"/>
      <c r="AH41" s="785"/>
      <c r="AI41" s="785"/>
      <c r="AJ41" s="785"/>
      <c r="AK41" s="785"/>
      <c r="AL41" s="785"/>
      <c r="AM41" s="785"/>
      <c r="AN41" s="785"/>
      <c r="AO41" s="785"/>
      <c r="AP41" s="785"/>
      <c r="AQ41" s="785"/>
      <c r="AR41" s="785"/>
      <c r="AS41" s="785"/>
      <c r="AT41" s="785"/>
      <c r="AU41" s="785"/>
      <c r="AV41" s="785"/>
      <c r="AW41" s="785"/>
      <c r="AX41" s="785"/>
      <c r="AY41" s="785"/>
      <c r="AZ41" s="785"/>
      <c r="BA41" s="785"/>
      <c r="BB41" s="786"/>
    </row>
    <row r="42" spans="3:54" ht="18" customHeight="1">
      <c r="C42" s="581"/>
      <c r="D42" s="784"/>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5"/>
      <c r="AY42" s="785"/>
      <c r="AZ42" s="785"/>
      <c r="BA42" s="785"/>
      <c r="BB42" s="786"/>
    </row>
    <row r="43" spans="3:54" ht="18" customHeight="1">
      <c r="C43" s="579"/>
      <c r="D43" s="793"/>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4"/>
      <c r="AY43" s="794"/>
      <c r="AZ43" s="794"/>
      <c r="BA43" s="794"/>
      <c r="BB43" s="795"/>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formatCells="0" formatColumns="0" formatRows="0" insertColumns="0"/>
  <mergeCells count="26">
    <mergeCell ref="D32:BB32"/>
    <mergeCell ref="D33:BB33"/>
    <mergeCell ref="C5:AN5"/>
    <mergeCell ref="D22:BB22"/>
    <mergeCell ref="D23:BB23"/>
    <mergeCell ref="D24:BB24"/>
    <mergeCell ref="D15:BB15"/>
    <mergeCell ref="D17:BB17"/>
    <mergeCell ref="D16:BB16"/>
    <mergeCell ref="D30:BB30"/>
    <mergeCell ref="D31:BB31"/>
    <mergeCell ref="D25:BB25"/>
    <mergeCell ref="D26:BB26"/>
    <mergeCell ref="D27:BB27"/>
    <mergeCell ref="D28:BB28"/>
    <mergeCell ref="D29:BB29"/>
    <mergeCell ref="D34:BB34"/>
    <mergeCell ref="D35:BB35"/>
    <mergeCell ref="D42:BB42"/>
    <mergeCell ref="D43:BB43"/>
    <mergeCell ref="D36:BB36"/>
    <mergeCell ref="D37:BB37"/>
    <mergeCell ref="D38:BB38"/>
    <mergeCell ref="D39:BB39"/>
    <mergeCell ref="D40:BB40"/>
    <mergeCell ref="D41:BB41"/>
  </mergeCells>
  <conditionalFormatting sqref="F12">
    <cfRule type="cellIs" priority="30" dxfId="226" operator="greaterThan" stopIfTrue="1">
      <formula>100-F9-F11+0.1</formula>
    </cfRule>
  </conditionalFormatting>
  <conditionalFormatting sqref="H12">
    <cfRule type="cellIs" priority="29" dxfId="226" operator="greaterThan" stopIfTrue="1">
      <formula>100-H9-H11+0.1</formula>
    </cfRule>
  </conditionalFormatting>
  <conditionalFormatting sqref="J12">
    <cfRule type="cellIs" priority="28" dxfId="226" operator="greaterThan" stopIfTrue="1">
      <formula>100-J9-J11+0.1</formula>
    </cfRule>
  </conditionalFormatting>
  <conditionalFormatting sqref="L12">
    <cfRule type="cellIs" priority="27" dxfId="226" operator="greaterThan" stopIfTrue="1">
      <formula>100-L9-L11+0.1</formula>
    </cfRule>
  </conditionalFormatting>
  <conditionalFormatting sqref="N12">
    <cfRule type="cellIs" priority="26" dxfId="226" operator="greaterThan" stopIfTrue="1">
      <formula>100-N9-N11+0.1</formula>
    </cfRule>
  </conditionalFormatting>
  <conditionalFormatting sqref="P12">
    <cfRule type="cellIs" priority="25" dxfId="226" operator="greaterThan" stopIfTrue="1">
      <formula>100-P9-P11+0.1</formula>
    </cfRule>
  </conditionalFormatting>
  <conditionalFormatting sqref="R12">
    <cfRule type="cellIs" priority="24" dxfId="226" operator="greaterThan" stopIfTrue="1">
      <formula>100-R9-R11+0.1</formula>
    </cfRule>
  </conditionalFormatting>
  <conditionalFormatting sqref="T12">
    <cfRule type="cellIs" priority="23" dxfId="226" operator="greaterThan" stopIfTrue="1">
      <formula>100-T9-T11+0.1</formula>
    </cfRule>
  </conditionalFormatting>
  <conditionalFormatting sqref="V12">
    <cfRule type="cellIs" priority="22" dxfId="226" operator="greaterThan" stopIfTrue="1">
      <formula>100-V9-V11+0.1</formula>
    </cfRule>
  </conditionalFormatting>
  <conditionalFormatting sqref="X12">
    <cfRule type="cellIs" priority="21" dxfId="226" operator="greaterThan" stopIfTrue="1">
      <formula>100-X9-X11+0.1</formula>
    </cfRule>
  </conditionalFormatting>
  <conditionalFormatting sqref="Z12">
    <cfRule type="cellIs" priority="20" dxfId="226" operator="greaterThan" stopIfTrue="1">
      <formula>100-Z9-Z11+0.1</formula>
    </cfRule>
  </conditionalFormatting>
  <conditionalFormatting sqref="AB12">
    <cfRule type="cellIs" priority="19" dxfId="226" operator="greaterThan" stopIfTrue="1">
      <formula>100-AB9-AB11+0.1</formula>
    </cfRule>
  </conditionalFormatting>
  <conditionalFormatting sqref="AD12">
    <cfRule type="cellIs" priority="18" dxfId="226" operator="greaterThan" stopIfTrue="1">
      <formula>100-AD9-AD11+0.1</formula>
    </cfRule>
  </conditionalFormatting>
  <conditionalFormatting sqref="AF12">
    <cfRule type="cellIs" priority="17" dxfId="226" operator="greaterThan" stopIfTrue="1">
      <formula>100-AF9-AF11+0.1</formula>
    </cfRule>
  </conditionalFormatting>
  <conditionalFormatting sqref="AH12">
    <cfRule type="cellIs" priority="16" dxfId="226" operator="greaterThan" stopIfTrue="1">
      <formula>100-AH9-AH11+0.1</formula>
    </cfRule>
  </conditionalFormatting>
  <conditionalFormatting sqref="AJ12">
    <cfRule type="cellIs" priority="15" dxfId="226" operator="greaterThan" stopIfTrue="1">
      <formula>100-AJ9-AJ11+0.1</formula>
    </cfRule>
  </conditionalFormatting>
  <conditionalFormatting sqref="AL12">
    <cfRule type="cellIs" priority="14" dxfId="226" operator="greaterThan" stopIfTrue="1">
      <formula>100-AL9-AL11+0.1</formula>
    </cfRule>
  </conditionalFormatting>
  <conditionalFormatting sqref="AN12">
    <cfRule type="cellIs" priority="13" dxfId="226" operator="greaterThan" stopIfTrue="1">
      <formula>100-AN9-AN11+0.1</formula>
    </cfRule>
  </conditionalFormatting>
  <conditionalFormatting sqref="AP12">
    <cfRule type="cellIs" priority="12" dxfId="226" operator="greaterThan" stopIfTrue="1">
      <formula>100-AP9-AP11+0.1</formula>
    </cfRule>
  </conditionalFormatting>
  <conditionalFormatting sqref="AR12">
    <cfRule type="cellIs" priority="11" dxfId="226" operator="greaterThan" stopIfTrue="1">
      <formula>100-AR9-AR11+0.1</formula>
    </cfRule>
  </conditionalFormatting>
  <conditionalFormatting sqref="AT12">
    <cfRule type="cellIs" priority="10" dxfId="226" operator="greaterThan" stopIfTrue="1">
      <formula>100-AT9-AT11+0.1</formula>
    </cfRule>
  </conditionalFormatting>
  <conditionalFormatting sqref="AZ12">
    <cfRule type="cellIs" priority="9" dxfId="226" operator="greaterThan" stopIfTrue="1">
      <formula>100-AZ9-AZ11+0.1</formula>
    </cfRule>
  </conditionalFormatting>
  <conditionalFormatting sqref="CB20 BZ20 BX20 BV20 CL20 CN20 CP20 CJ20 CF20 CD20 BF20 CZ20 CR20 CT20">
    <cfRule type="cellIs" priority="6" dxfId="226"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26"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26" operator="equal" stopIfTrue="1">
      <formula>"&gt; 25%"</formula>
    </cfRule>
  </conditionalFormatting>
  <conditionalFormatting sqref="AV12">
    <cfRule type="cellIs" priority="5" dxfId="226" operator="greaterThan" stopIfTrue="1">
      <formula>100-AV9-AV11+0.1</formula>
    </cfRule>
  </conditionalFormatting>
  <conditionalFormatting sqref="AX12">
    <cfRule type="cellIs" priority="4" dxfId="226" operator="greaterThan" stopIfTrue="1">
      <formula>100-AX9-AX11+0.1</formula>
    </cfRule>
  </conditionalFormatting>
  <conditionalFormatting sqref="CV20 CX20">
    <cfRule type="cellIs" priority="1" dxfId="226" operator="lessThan" stopIfTrue="1">
      <formula>CV21</formula>
    </cfRule>
  </conditionalFormatting>
  <conditionalFormatting sqref="CX18 CX23 CX21 CV18 CV21 CV23">
    <cfRule type="cellIs" priority="2" dxfId="226" operator="equal" stopIfTrue="1">
      <formula>"&lt;&gt;"</formula>
    </cfRule>
  </conditionalFormatting>
  <conditionalFormatting sqref="CX8:CX12 CV8:CV12">
    <cfRule type="cellIs" priority="3" dxfId="226"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2018-07-24T18:00:30Z</cp:lastPrinted>
  <dcterms:created xsi:type="dcterms:W3CDTF">2001-01-18T18:38:40Z</dcterms:created>
  <dcterms:modified xsi:type="dcterms:W3CDTF">2020-02-10T20:42:07Z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Robin Carrington</vt:lpwstr>
  </property>
  <property fmtid="{D5CDD505-2E9C-101B-9397-08002B2CF9AE}" pid="3" name="Order">
    <vt:lpwstr>4295200.00000000</vt:lpwstr>
  </property>
  <property fmtid="{D5CDD505-2E9C-101B-9397-08002B2CF9AE}" pid="4" name="display_urn:schemas-microsoft-com:office:office#Author">
    <vt:lpwstr>Robin Carrington</vt:lpwstr>
  </property>
</Properties>
</file>